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OXxFn8hhGfWp5QF+S2ZTVNcdF8KEoQuPQlyUcvllGrm4O7qIpp34TiKWTUGn7vcczo+xPHlfs7apKApHhYx2kA==" workbookSaltValue="PebPnFD72WvVq66dJ+xHrA==" workbookSpinCount="100000" lockStructure="1"/>
  <bookViews>
    <workbookView xWindow="0" yWindow="0" windowWidth="21570" windowHeight="6960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N112" i="83"/>
  <c r="AM84" i="83"/>
  <c r="J16" i="83" s="1"/>
  <c r="AL84" i="83"/>
  <c r="AE84" i="83"/>
  <c r="I16" i="83" s="1"/>
  <c r="AD84" i="83"/>
  <c r="V84" i="83"/>
  <c r="O84" i="83"/>
  <c r="N84" i="83"/>
  <c r="I30" i="83" l="1"/>
  <c r="W33" i="83"/>
  <c r="I35" i="83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498" i="83" l="1"/>
  <c r="M386" i="83"/>
  <c r="M402" i="83"/>
  <c r="M78" i="83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U194" i="83" l="1"/>
  <c r="AC298" i="83"/>
  <c r="U78" i="83"/>
  <c r="AA78" i="83" s="1"/>
  <c r="S78" i="83"/>
  <c r="Q78" i="83"/>
  <c r="Y139" i="83"/>
  <c r="Z279" i="83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C136" i="83" l="1"/>
  <c r="AI245" i="83"/>
  <c r="AJ70" i="83"/>
  <c r="AN70" i="83" s="1"/>
  <c r="Y52" i="83" s="1"/>
  <c r="AG190" i="83"/>
  <c r="AG302" i="83"/>
  <c r="AH161" i="83"/>
  <c r="AG214" i="83"/>
  <c r="AK161" i="83"/>
  <c r="AQ161" i="83" s="1"/>
  <c r="AK214" i="83"/>
  <c r="AK132" i="83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Q245" i="83" s="1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P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O245" i="83" l="1"/>
  <c r="AO161" i="83"/>
  <c r="AP245" i="83"/>
  <c r="AI334" i="83"/>
  <c r="Y112" i="83"/>
  <c r="AG334" i="83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U476" i="83" s="1"/>
  <c r="R43" i="83" s="1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S44" i="83" s="1"/>
  <c r="Y476" i="83"/>
  <c r="Y448" i="83"/>
  <c r="Z420" i="83"/>
  <c r="S41" i="83" s="1"/>
  <c r="M224" i="83"/>
  <c r="K34" i="83" s="1"/>
  <c r="AG222" i="83"/>
  <c r="AH222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S30" i="83" l="1"/>
  <c r="AA478" i="83"/>
  <c r="V43" i="83" s="1"/>
  <c r="AQ222" i="83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<sst xmlns="http://schemas.openxmlformats.org/spreadsheetml/2006/main" count="65894" uniqueCount="755">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</sst>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41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0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0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1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7.5999999999999998E-2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1.4999999999999999E-2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249050</v>
      </c>
    </row>
    <row r="4" spans="1:29" x14ac:dyDescent="0.25">
      <c r="A4" s="2">
        <f>Results!$D$3</f>
        <v>41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0.68813683342290854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3.6143130941086406E-2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6.9081691031590453E-2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0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7.8606768261115678E-2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7.1281650171916816E-2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0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6.2573571269151061E-4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5.612419045869052E-2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0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0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7.1850286237254729E-2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7.0488284613600821E-2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6.9488284613600834E-2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6.7488284613600832E-2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1.2775287074919033E-2</v>
      </c>
      <c r="AB4" s="2">
        <f>SUMIFS(PERSALDATA!$G$2:$G$20871,PERSALDATA!$A$2:$A$20871,WORKING!A4,PERSALDATA!$D$2:$D$20871,WORKING!B4,PERSALDATA!$E$2:$E$20871,WORKING!C4,PERSALDATA!$F$2:$F$20871,"S&amp;W: BASIC SALARY (RES)")</f>
        <v>3</v>
      </c>
      <c r="AC4" s="2">
        <f>SUMIFS(PERSALDATA!$H$2:$H$20871,PERSALDATA!$A$2:$A$20871,WORKING!A4,PERSALDATA!$D$2:$D$20871,WORKING!B4,PERSALDATA!$E$2:$E$20871,WORKING!C4)</f>
        <v>512436.79000000004</v>
      </c>
    </row>
    <row r="5" spans="1:29" x14ac:dyDescent="0.25">
      <c r="A5" s="2">
        <f>Results!$D$3</f>
        <v>41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0.60041827608626619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5.0034856340522182E-2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8.5776762512720969E-2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5.6425415762747691E-2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0.12884662516013845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7.8053549892760782E-2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0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4.4451424484370062E-4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0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0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0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7.1284818801275157E-2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7.1074931752274875E-2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7.0074931752274888E-2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6.8074931752274886E-2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1.1773981471234452E-2</v>
      </c>
      <c r="AB5" s="2">
        <f>SUMIFS(PERSALDATA!$G$2:$G$20871,PERSALDATA!$A$2:$A$20871,WORKING!A5,PERSALDATA!$D$2:$D$20871,WORKING!B5,PERSALDATA!$E$2:$E$20871,WORKING!C5,PERSALDATA!$F$2:$F$20871,"S&amp;W: BASIC SALARY (RES)")</f>
        <v>4</v>
      </c>
      <c r="AC5" s="2">
        <f>SUMIFS(PERSALDATA!$H$2:$H$20871,PERSALDATA!$A$2:$A$20871,WORKING!A5,PERSALDATA!$D$2:$D$20871,WORKING!B5,PERSALDATA!$E$2:$E$20871,WORKING!C5)</f>
        <v>629541.13</v>
      </c>
    </row>
    <row r="6" spans="1:29" x14ac:dyDescent="0.25">
      <c r="A6" s="2">
        <f>Results!$D$3</f>
        <v>41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0.68649185522037781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3.5121719751121092E-2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6.2753129430179855E-2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2.7541463526875514E-2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9.8427210808169921E-2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8.9242485788762718E-2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0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4.2213547451301761E-4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0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0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7.2608743114620691E-2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7.0848876867820751E-2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6.9848876867820736E-2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6.7848876867820748E-2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1.2575962864307056E-2</v>
      </c>
      <c r="AB6" s="2">
        <f>SUMIFS(PERSALDATA!$G$2:$G$20871,PERSALDATA!$A$2:$A$20871,WORKING!A6,PERSALDATA!$D$2:$D$20871,WORKING!B6,PERSALDATA!$E$2:$E$20871,WORKING!C6,PERSALDATA!$F$2:$F$20871,"S&amp;W: BASIC SALARY (RES)")</f>
        <v>2</v>
      </c>
      <c r="AC6" s="2">
        <f>SUMIFS(PERSALDATA!$H$2:$H$20871,PERSALDATA!$A$2:$A$20871,WORKING!A6,PERSALDATA!$D$2:$D$20871,WORKING!B6,PERSALDATA!$E$2:$E$20871,WORKING!C6)</f>
        <v>372889.77</v>
      </c>
    </row>
    <row r="7" spans="1:29" x14ac:dyDescent="0.25">
      <c r="A7" s="2">
        <f>Results!$D$3</f>
        <v>41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0.65190521311991223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5.1962549519892758E-2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6.2280925032461701E-2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4.5714232458195191E-2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0.10305842313515368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8.4746848967473226E-2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0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3.3180776691129406E-4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0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0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7.2709467621425064E-2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7.0923067096702694E-2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6.9923067096702693E-2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6.7923067096702691E-2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1.25149326609821E-2</v>
      </c>
      <c r="AB7" s="2">
        <f>SUMIFS(PERSALDATA!$G$2:$G$20871,PERSALDATA!$A$2:$A$20871,WORKING!A7,PERSALDATA!$D$2:$D$20871,WORKING!B7,PERSALDATA!$E$2:$E$20871,WORKING!C7,PERSALDATA!$F$2:$F$20871,"S&amp;W: BASIC SALARY (RES)")</f>
        <v>4</v>
      </c>
      <c r="AC7" s="2">
        <f>SUMIFS(PERSALDATA!$H$2:$H$20871,PERSALDATA!$A$2:$A$20871,WORKING!A7,PERSALDATA!$D$2:$D$20871,WORKING!B7,PERSALDATA!$E$2:$E$20871,WORKING!C7)</f>
        <v>895940.45</v>
      </c>
    </row>
    <row r="8" spans="1:29" x14ac:dyDescent="0.25">
      <c r="A8" s="2">
        <f>Results!$D$3</f>
        <v>41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0.69063959569780098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3.6300873144398275E-2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5.8360871627563607E-2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3.5640189718315909E-2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8.8972683166554573E-2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8.9782282713433109E-2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0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3.0350393193357837E-4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0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0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7.281019132063693E-2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7.0750981531222695E-2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6.9750981531222694E-2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6.7750981531222693E-2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1.2785444119109226E-2</v>
      </c>
      <c r="AB8" s="2">
        <f>SUMIFS(PERSALDATA!$G$2:$G$20871,PERSALDATA!$A$2:$A$20871,WORKING!A8,PERSALDATA!$D$2:$D$20871,WORKING!B8,PERSALDATA!$E$2:$E$20871,WORKING!C8,PERSALDATA!$F$2:$F$20871,"S&amp;W: BASIC SALARY (RES)")</f>
        <v>2</v>
      </c>
      <c r="AC8" s="2">
        <f>SUMIFS(PERSALDATA!$H$2:$H$20871,PERSALDATA!$A$2:$A$20871,WORKING!A8,PERSALDATA!$D$2:$D$20871,WORKING!B8,PERSALDATA!$E$2:$E$20871,WORKING!C8)</f>
        <v>364970.56</v>
      </c>
    </row>
    <row r="9" spans="1:29" x14ac:dyDescent="0.25">
      <c r="A9" s="2">
        <f>Results!$D$3</f>
        <v>41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0.70139507402525714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5.6018807530916336E-2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4.0052073017457321E-2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3.4773307373557813E-2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7.3257423788123749E-2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8.3528265619493489E-2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0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2.3789955574355929E-4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1.0737149089450717E-2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0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0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7.3981646383706981E-2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7.0698340626647288E-2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6.9698340626647315E-2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6.7698340626647285E-2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1.3296789054580134E-2</v>
      </c>
      <c r="AB9" s="2">
        <f>SUMIFS(PERSALDATA!$G$2:$G$20871,PERSALDATA!$A$2:$A$20871,WORKING!A9,PERSALDATA!$D$2:$D$20871,WORKING!B9,PERSALDATA!$E$2:$E$20871,WORKING!C9,PERSALDATA!$F$2:$F$20871,"S&amp;W: BASIC SALARY (RES)")</f>
        <v>7</v>
      </c>
      <c r="AC9" s="2">
        <f>SUMIFS(PERSALDATA!$H$2:$H$20871,PERSALDATA!$A$2:$A$20871,WORKING!A9,PERSALDATA!$D$2:$D$20871,WORKING!B9,PERSALDATA!$E$2:$E$20871,WORKING!C9)</f>
        <v>2254564.9499999997</v>
      </c>
    </row>
    <row r="10" spans="1:29" x14ac:dyDescent="0.25">
      <c r="A10" s="2">
        <f>Results!$D$3</f>
        <v>41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0.71142942652385321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6.2933987634797003E-2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3.731827468770306E-2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1.9362627134665782E-2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6.0189044243740213E-2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9.2485373367149834E-2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1.0974751722324762E-2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1.9137709662763271E-4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0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0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5.1151375891385579E-3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7.4006457743146931E-2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7.0529652916779081E-2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6.9529652916779094E-2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6.7529652916779093E-2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1.3534519559578935E-2</v>
      </c>
      <c r="AB10" s="2">
        <f>SUMIFS(PERSALDATA!$G$2:$G$20871,PERSALDATA!$A$2:$A$20871,WORKING!A10,PERSALDATA!$D$2:$D$20871,WORKING!B10,PERSALDATA!$E$2:$E$20871,WORKING!C10,PERSALDATA!$F$2:$F$20871,"S&amp;W: BASIC SALARY (RES)")</f>
        <v>5</v>
      </c>
      <c r="AC10" s="2">
        <f>SUMIFS(PERSALDATA!$H$2:$H$20871,PERSALDATA!$A$2:$A$20871,WORKING!A10,PERSALDATA!$D$2:$D$20871,WORKING!B10,PERSALDATA!$E$2:$E$20871,WORKING!C10)</f>
        <v>1736414.68</v>
      </c>
    </row>
    <row r="11" spans="1:29" x14ac:dyDescent="0.25">
      <c r="A11" s="2">
        <f>Results!$D$3</f>
        <v>41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0.70078716878864411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3.3441966251873859E-2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9.3359501655871542E-3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1.9422332896865315E-3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2.3050905527890186E-2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3.5280689046470505E-2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0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1.6414971426064902E-4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0.19599693721558697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0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7.5613180464805835E-2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7.0252404081262487E-2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6.9252404081262486E-2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6.7252404081262471E-2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1.4511734918883931E-2</v>
      </c>
      <c r="AB11" s="2">
        <f>SUMIFS(PERSALDATA!$G$2:$G$20871,PERSALDATA!$A$2:$A$20871,WORKING!A11,PERSALDATA!$D$2:$D$20871,WORKING!B11,PERSALDATA!$E$2:$E$20871,WORKING!C11,PERSALDATA!$F$2:$F$20871,"S&amp;W: BASIC SALARY (RES)")</f>
        <v>1</v>
      </c>
      <c r="AC11" s="2">
        <f>SUMIFS(PERSALDATA!$H$2:$H$20871,PERSALDATA!$A$2:$A$20871,WORKING!A11,PERSALDATA!$D$2:$D$20871,WORKING!B11,PERSALDATA!$E$2:$E$20871,WORKING!C11)</f>
        <v>674810.8</v>
      </c>
    </row>
    <row r="12" spans="1:29" x14ac:dyDescent="0.25">
      <c r="A12" s="2">
        <f>Results!$D$3</f>
        <v>41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0.75137315181833386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6.6840587771204982E-2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2.4200662901579659E-2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1.2348471396526631E-2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4.7428806651213892E-2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9.7678082662941423E-2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0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1.3023679819957796E-4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0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0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0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7.4824752912596923E-2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7.0469425470752425E-2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6.9469425470752424E-2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6.7469425470752409E-2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1.3923604404735102E-2</v>
      </c>
      <c r="AB12" s="2">
        <f>SUMIFS(PERSALDATA!$G$2:$G$20871,PERSALDATA!$A$2:$A$20871,WORKING!A12,PERSALDATA!$D$2:$D$20871,WORKING!B12,PERSALDATA!$E$2:$E$20871,WORKING!C12,PERSALDATA!$F$2:$F$20871,"S&amp;W: BASIC SALARY (RES)")</f>
        <v>6</v>
      </c>
      <c r="AC12" s="2">
        <f>SUMIFS(PERSALDATA!$H$2:$H$20871,PERSALDATA!$A$2:$A$20871,WORKING!A12,PERSALDATA!$D$2:$D$20871,WORKING!B12,PERSALDATA!$E$2:$E$20871,WORKING!C12)</f>
        <v>4028815.26</v>
      </c>
    </row>
    <row r="13" spans="1:29" x14ac:dyDescent="0.25">
      <c r="A13" s="2">
        <f>Results!$D$3</f>
        <v>41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0.79989577752929375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0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0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0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0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0.10398584659746667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0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1.3100840970621758E-4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9.5987367463533368E-2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0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1.4998034873854406E-2</v>
      </c>
      <c r="AB13" s="2">
        <f>SUMIFS(PERSALDATA!$G$2:$G$20871,PERSALDATA!$A$2:$A$20871,WORKING!A13,PERSALDATA!$D$2:$D$20871,WORKING!B13,PERSALDATA!$E$2:$E$20871,WORKING!C13,PERSALDATA!$F$2:$F$20871,"S&amp;W: BASIC SALARY (RES)")</f>
        <v>0</v>
      </c>
      <c r="AC13" s="2">
        <f>SUMIFS(PERSALDATA!$H$2:$H$20871,PERSALDATA!$A$2:$A$20871,WORKING!A13,PERSALDATA!$D$2:$D$20871,WORKING!B13,PERSALDATA!$E$2:$E$20871,WORKING!C13)</f>
        <v>44500.959999999999</v>
      </c>
    </row>
    <row r="14" spans="1:29" x14ac:dyDescent="0.25">
      <c r="A14" s="2">
        <f>Results!$D$3</f>
        <v>41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0.71494701805735228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7.2765828266428384E-2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0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7.3787990927767499E-3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1.5572767529944706E-2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9.2942880795201008E-2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3.1826895309717551E-3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1.014169251532621E-4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9.3108599802171968E-2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0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1.4764887233173533E-2</v>
      </c>
      <c r="AB14" s="2">
        <f>SUMIFS(PERSALDATA!$G$2:$G$20871,PERSALDATA!$A$2:$A$20871,WORKING!A14,PERSALDATA!$D$2:$D$20871,WORKING!B14,PERSALDATA!$E$2:$E$20871,WORKING!C14,PERSALDATA!$F$2:$F$20871,"S&amp;W: BASIC SALARY (RES)")</f>
        <v>9</v>
      </c>
      <c r="AC14" s="2">
        <f>SUMIFS(PERSALDATA!$H$2:$H$20871,PERSALDATA!$A$2:$A$20871,WORKING!A14,PERSALDATA!$D$2:$D$20871,WORKING!B14,PERSALDATA!$E$2:$E$20871,WORKING!C14)</f>
        <v>5806032.8600000003</v>
      </c>
    </row>
    <row r="15" spans="1:29" x14ac:dyDescent="0.25">
      <c r="A15" s="2">
        <f>Results!$D$3</f>
        <v>41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0.68832360573777063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3.1174989829558485E-2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1.3435965241170903E-3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4.39016377952655E-3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8.4645357502735163E-2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0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7.6313469887916214E-5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0.17712979045493624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1.2916182701467797E-2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1.4912848893397024E-2</v>
      </c>
      <c r="AB15" s="2">
        <f>SUMIFS(PERSALDATA!$G$2:$G$20871,PERSALDATA!$A$2:$A$20871,WORKING!A15,PERSALDATA!$D$2:$D$20871,WORKING!B15,PERSALDATA!$E$2:$E$20871,WORKING!C15,PERSALDATA!$F$2:$F$20871,"S&amp;W: BASIC SALARY (RES)")</f>
        <v>8</v>
      </c>
      <c r="AC15" s="2">
        <f>SUMIFS(PERSALDATA!$H$2:$H$20871,PERSALDATA!$A$2:$A$20871,WORKING!A15,PERSALDATA!$D$2:$D$20871,WORKING!B15,PERSALDATA!$E$2:$E$20871,WORKING!C15)</f>
        <v>9243846.4800000004</v>
      </c>
    </row>
    <row r="16" spans="1:29" x14ac:dyDescent="0.25">
      <c r="A16" s="2">
        <f>Results!$D$3</f>
        <v>41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0.67902432023668136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8.4743959001094465E-2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0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1.4711084630639867E-3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8.5549869578645701E-2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0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6.1261159569021728E-5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0.14914948156094557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0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1.4977014455660506E-2</v>
      </c>
      <c r="AB16" s="2">
        <f>SUMIFS(PERSALDATA!$G$2:$G$20871,PERSALDATA!$A$2:$A$20871,WORKING!A16,PERSALDATA!$D$2:$D$20871,WORKING!B16,PERSALDATA!$E$2:$E$20871,WORKING!C16,PERSALDATA!$F$2:$F$20871,"S&amp;W: BASIC SALARY (RES)")</f>
        <v>1</v>
      </c>
      <c r="AC16" s="2">
        <f>SUMIFS(PERSALDATA!$H$2:$H$20871,PERSALDATA!$A$2:$A$20871,WORKING!A16,PERSALDATA!$D$2:$D$20871,WORKING!B16,PERSALDATA!$E$2:$E$20871,WORKING!C16)</f>
        <v>3425988.04</v>
      </c>
    </row>
    <row r="17" spans="1:29" x14ac:dyDescent="0.25">
      <c r="A17" s="2">
        <f>Results!$D$3</f>
        <v>41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0.65091781471262422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1.7966022197644753E-2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0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0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2.8588933956504758E-2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4.7761172739911885E-5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0.30247946796048641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1.4999283582408899E-2</v>
      </c>
      <c r="AB17" s="2">
        <f>SUMIFS(PERSALDATA!$G$2:$G$20871,PERSALDATA!$A$2:$A$20871,WORKING!A17,PERSALDATA!$D$2:$D$20871,WORKING!B17,PERSALDATA!$E$2:$E$20871,WORKING!C17,PERSALDATA!$F$2:$F$20871,"S&amp;W: BASIC SALARY (RES)")</f>
        <v>1</v>
      </c>
      <c r="AC17" s="2">
        <f>SUMIFS(PERSALDATA!$H$2:$H$20871,PERSALDATA!$A$2:$A$20871,WORKING!A17,PERSALDATA!$D$2:$D$20871,WORKING!B17,PERSALDATA!$E$2:$E$20871,WORKING!C17)</f>
        <v>2075116.5499999998</v>
      </c>
    </row>
    <row r="18" spans="1:29" x14ac:dyDescent="0.25">
      <c r="A18" s="2">
        <f>Results!$D$3</f>
        <v>41</v>
      </c>
      <c r="B18" s="2">
        <v>1</v>
      </c>
      <c r="C18" s="2">
        <v>16</v>
      </c>
      <c r="D18" s="62" t="str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/>
      </c>
      <c r="E18" s="62" t="str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/>
      </c>
      <c r="F18" s="62" t="str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/>
      </c>
      <c r="G18" s="69" t="str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/>
      </c>
      <c r="H18" s="62" t="str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/>
      </c>
      <c r="I18" s="62" t="str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/>
      </c>
      <c r="J18" s="62" t="str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/>
      </c>
      <c r="K18" s="62" t="str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/>
      </c>
      <c r="L18" s="62" t="str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/>
      </c>
      <c r="M18" s="62" t="str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/>
      </c>
      <c r="N18" s="62" t="str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/>
      </c>
      <c r="O18" s="62" t="str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/>
      </c>
      <c r="P18" s="62" t="str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/>
      </c>
      <c r="Q18" s="62" t="str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/>
      </c>
      <c r="R18" s="62" t="str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/>
      </c>
      <c r="S18" s="62" t="str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/>
      </c>
      <c r="T18" s="62" t="str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/>
      </c>
      <c r="U18" s="62" t="str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/>
      </c>
      <c r="V18" s="62" t="str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/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0</v>
      </c>
      <c r="AB18" s="2">
        <f>SUMIFS(PERSALDATA!$G$2:$G$20871,PERSALDATA!$A$2:$A$20871,WORKING!A18,PERSALDATA!$D$2:$D$20871,WORKING!B18,PERSALDATA!$E$2:$E$20871,WORKING!C18,PERSALDATA!$F$2:$F$20871,"S&amp;W: BASIC SALARY (RES)")</f>
        <v>0</v>
      </c>
      <c r="AC18" s="2">
        <f>SUMIFS(PERSALDATA!$H$2:$H$20871,PERSALDATA!$A$2:$A$20871,WORKING!A18,PERSALDATA!$D$2:$D$20871,WORKING!B18,PERSALDATA!$E$2:$E$20871,WORKING!C18)</f>
        <v>0</v>
      </c>
    </row>
    <row r="19" spans="1:29" x14ac:dyDescent="0.25">
      <c r="A19" s="2">
        <f>Results!$D$3</f>
        <v>41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41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41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41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41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41</v>
      </c>
      <c r="B24" s="2">
        <v>2</v>
      </c>
      <c r="C24" s="2">
        <v>5</v>
      </c>
      <c r="D24" s="62" t="str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/>
      </c>
      <c r="E24" s="62" t="str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/>
      </c>
      <c r="F24" s="62" t="str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/>
      </c>
      <c r="G24" s="69" t="str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/>
      </c>
      <c r="H24" s="62" t="str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/>
      </c>
      <c r="I24" s="62" t="str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/>
      </c>
      <c r="J24" s="62" t="str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/>
      </c>
      <c r="K24" s="62" t="str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/>
      </c>
      <c r="L24" s="62" t="str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/>
      </c>
      <c r="M24" s="62" t="str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/>
      </c>
      <c r="N24" s="62" t="str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/>
      </c>
      <c r="O24" s="62" t="str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/>
      </c>
      <c r="P24" s="62" t="str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/>
      </c>
      <c r="Q24" s="62" t="str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/>
      </c>
      <c r="R24" s="62" t="str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/>
      </c>
      <c r="S24" s="62" t="str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/>
      </c>
      <c r="T24" s="62" t="str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/>
      </c>
      <c r="U24" s="62" t="str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/>
      </c>
      <c r="V24" s="62" t="str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/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7.3827684520804057E-2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7.0033119199051808E-2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6.9033119199051793E-2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6.7033119199051777E-2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0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0</v>
      </c>
    </row>
    <row r="25" spans="1:29" x14ac:dyDescent="0.25">
      <c r="A25" s="2">
        <f>Results!$D$3</f>
        <v>41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0.77103660885310665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6.4253050737758888E-2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3.2735774505509761E-2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2.20881122411258E-2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9.3133278468175273E-3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0.10023383769947332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0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3.392881162082167E-4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0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0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0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7.3642467727436711E-2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6.9812342172647188E-2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6.8812342172647187E-2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6.6812342172647185E-2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1.4364174142971971E-2</v>
      </c>
      <c r="AB25" s="2">
        <f>SUMIFS(PERSALDATA!$G$2:$G$20871,PERSALDATA!$A$2:$A$20871,WORKING!A25,PERSALDATA!$D$2:$D$20871,WORKING!B25,PERSALDATA!$E$2:$E$20871,WORKING!C25,PERSALDATA!$F$2:$F$20871,"S&amp;W: BASIC SALARY (RES)")</f>
        <v>2</v>
      </c>
      <c r="AC25" s="2">
        <f>SUMIFS(PERSALDATA!$H$2:$H$20871,PERSALDATA!$A$2:$A$20871,WORKING!A25,PERSALDATA!$D$2:$D$20871,WORKING!B25,PERSALDATA!$E$2:$E$20871,WORKING!C25)</f>
        <v>412392.86999999994</v>
      </c>
    </row>
    <row r="26" spans="1:29" x14ac:dyDescent="0.25">
      <c r="A26" s="2">
        <f>Results!$D$3</f>
        <v>41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0.75406124593807022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6.3071603023182016E-2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5.1286991977650721E-2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0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3.3287157311716713E-2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9.8027221159842776E-2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0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2.6578058953751437E-4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0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0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7.2568208812062565E-2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6.9986437439899254E-2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6.898643743989924E-2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6.6986437439899252E-2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1.3727401051816426E-2</v>
      </c>
      <c r="AB26" s="2">
        <f>SUMIFS(PERSALDATA!$G$2:$G$20871,PERSALDATA!$A$2:$A$20871,WORKING!A26,PERSALDATA!$D$2:$D$20871,WORKING!B26,PERSALDATA!$E$2:$E$20871,WORKING!C26,PERSALDATA!$F$2:$F$20871,"S&amp;W: BASIC SALARY (RES)")</f>
        <v>1</v>
      </c>
      <c r="AC26" s="2">
        <f>SUMIFS(PERSALDATA!$H$2:$H$20871,PERSALDATA!$A$2:$A$20871,WORKING!A26,PERSALDATA!$D$2:$D$20871,WORKING!B26,PERSALDATA!$E$2:$E$20871,WORKING!C26)</f>
        <v>263224.64</v>
      </c>
    </row>
    <row r="27" spans="1:29" x14ac:dyDescent="0.25">
      <c r="A27" s="2">
        <f>Results!$D$3</f>
        <v>41</v>
      </c>
      <c r="B27" s="2">
        <v>2</v>
      </c>
      <c r="C27" s="2">
        <v>8</v>
      </c>
      <c r="D27" s="62" t="str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/>
      </c>
      <c r="E27" s="62" t="str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/>
      </c>
      <c r="F27" s="62" t="str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/>
      </c>
      <c r="G27" s="69" t="str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/>
      </c>
      <c r="H27" s="62" t="str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/>
      </c>
      <c r="I27" s="62" t="str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/>
      </c>
      <c r="J27" s="62" t="str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/>
      </c>
      <c r="K27" s="62" t="str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/>
      </c>
      <c r="L27" s="62" t="str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/>
      </c>
      <c r="M27" s="62" t="str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/>
      </c>
      <c r="N27" s="62" t="str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/>
      </c>
      <c r="O27" s="62" t="str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/>
      </c>
      <c r="P27" s="62" t="str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/>
      </c>
      <c r="Q27" s="62" t="str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/>
      </c>
      <c r="R27" s="62" t="str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/>
      </c>
      <c r="S27" s="62" t="str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/>
      </c>
      <c r="T27" s="62" t="str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/>
      </c>
      <c r="U27" s="62" t="str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/>
      </c>
      <c r="V27" s="62" t="str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/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7.3827684520804057E-2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7.0033119199051808E-2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6.9033119199051793E-2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6.7033119199051777E-2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0</v>
      </c>
      <c r="AB27" s="2">
        <f>SUMIFS(PERSALDATA!$G$2:$G$20871,PERSALDATA!$A$2:$A$20871,WORKING!A27,PERSALDATA!$D$2:$D$20871,WORKING!B27,PERSALDATA!$E$2:$E$20871,WORKING!C27,PERSALDATA!$F$2:$F$20871,"S&amp;W: BASIC SALARY (RES)")</f>
        <v>0</v>
      </c>
      <c r="AC27" s="2">
        <f>SUMIFS(PERSALDATA!$H$2:$H$20871,PERSALDATA!$A$2:$A$20871,WORKING!A27,PERSALDATA!$D$2:$D$20871,WORKING!B27,PERSALDATA!$E$2:$E$20871,WORKING!C27)</f>
        <v>0</v>
      </c>
    </row>
    <row r="28" spans="1:29" x14ac:dyDescent="0.25">
      <c r="A28" s="2">
        <f>Results!$D$3</f>
        <v>41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0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0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1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0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0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0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0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7.5999999999999998E-2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7.0000000000000007E-2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6.9000000000000006E-2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6.7000000000000004E-2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1.4999999999999999E-2</v>
      </c>
      <c r="AB28" s="2">
        <f>SUMIFS(PERSALDATA!$G$2:$G$20871,PERSALDATA!$A$2:$A$20871,WORKING!A28,PERSALDATA!$D$2:$D$20871,WORKING!B28,PERSALDATA!$E$2:$E$20871,WORKING!C28,PERSALDATA!$F$2:$F$20871,"S&amp;W: BASIC SALARY (RES)")</f>
        <v>0</v>
      </c>
      <c r="AC28" s="2">
        <f>SUMIFS(PERSALDATA!$H$2:$H$20871,PERSALDATA!$A$2:$A$20871,WORKING!A28,PERSALDATA!$D$2:$D$20871,WORKING!B28,PERSALDATA!$E$2:$E$20871,WORKING!C28)</f>
        <v>2894.33</v>
      </c>
    </row>
    <row r="29" spans="1:29" x14ac:dyDescent="0.25">
      <c r="A29" s="2">
        <f>Results!$D$3</f>
        <v>41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0.76591587202226474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6.5652568523228969E-2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2.3615744853960768E-2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3.3306426749799573E-3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4.1771855721188293E-2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9.9568607713763205E-2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0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1.4470849061413494E-4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0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7.4790009371195634E-2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7.0390420387278246E-2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6.9390420387278232E-2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6.7390420387278216E-2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1.4017015364013553E-2</v>
      </c>
      <c r="AB29" s="2">
        <f>SUMIFS(PERSALDATA!$G$2:$G$20871,PERSALDATA!$A$2:$A$20871,WORKING!A29,PERSALDATA!$D$2:$D$20871,WORKING!B29,PERSALDATA!$E$2:$E$20871,WORKING!C29,PERSALDATA!$F$2:$F$20871,"S&amp;W: BASIC SALARY (RES)")</f>
        <v>6</v>
      </c>
      <c r="AC29" s="2">
        <f>SUMIFS(PERSALDATA!$H$2:$H$20871,PERSALDATA!$A$2:$A$20871,WORKING!A29,PERSALDATA!$D$2:$D$20871,WORKING!B29,PERSALDATA!$E$2:$E$20871,WORKING!C29)</f>
        <v>2820152.42</v>
      </c>
    </row>
    <row r="30" spans="1:29" x14ac:dyDescent="0.25">
      <c r="A30" s="2">
        <f>Results!$D$3</f>
        <v>41</v>
      </c>
      <c r="B30" s="2">
        <v>2</v>
      </c>
      <c r="C30" s="2">
        <v>11</v>
      </c>
      <c r="D30" s="62" t="str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/>
      </c>
      <c r="E30" s="62" t="str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/>
      </c>
      <c r="F30" s="62" t="str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/>
      </c>
      <c r="G30" s="69" t="str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/>
      </c>
      <c r="H30" s="62" t="str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/>
      </c>
      <c r="I30" s="62" t="str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/>
      </c>
      <c r="J30" s="62" t="str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/>
      </c>
      <c r="K30" s="62" t="str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/>
      </c>
      <c r="L30" s="62" t="str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/>
      </c>
      <c r="M30" s="62" t="str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/>
      </c>
      <c r="N30" s="62" t="str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/>
      </c>
      <c r="O30" s="62" t="str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/>
      </c>
      <c r="P30" s="62" t="str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/>
      </c>
      <c r="Q30" s="62" t="str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/>
      </c>
      <c r="R30" s="62" t="str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/>
      </c>
      <c r="S30" s="62" t="str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/>
      </c>
      <c r="T30" s="62" t="str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/>
      </c>
      <c r="U30" s="62" t="str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/>
      </c>
      <c r="V30" s="62" t="str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/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0</v>
      </c>
      <c r="AB30" s="2">
        <f>SUMIFS(PERSALDATA!$G$2:$G$20871,PERSALDATA!$A$2:$A$20871,WORKING!A30,PERSALDATA!$D$2:$D$20871,WORKING!B30,PERSALDATA!$E$2:$E$20871,WORKING!C30,PERSALDATA!$F$2:$F$20871,"S&amp;W: BASIC SALARY (RES)")</f>
        <v>0</v>
      </c>
      <c r="AC30" s="2">
        <f>SUMIFS(PERSALDATA!$H$2:$H$20871,PERSALDATA!$A$2:$A$20871,WORKING!A30,PERSALDATA!$D$2:$D$20871,WORKING!B30,PERSALDATA!$E$2:$E$20871,WORKING!C30)</f>
        <v>0</v>
      </c>
    </row>
    <row r="31" spans="1:29" x14ac:dyDescent="0.25">
      <c r="A31" s="2">
        <f>Results!$D$3</f>
        <v>41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0.72465166215899435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4.8490449474622332E-2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0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6.7140352036154059E-3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1.6341863078145065E-2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9.4204494210339135E-2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0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1.0230885042335568E-4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0.10949518702386024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0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1.4753337421071471E-2</v>
      </c>
      <c r="AB31" s="2">
        <f>SUMIFS(PERSALDATA!$G$2:$G$20871,PERSALDATA!$A$2:$A$20871,WORKING!A31,PERSALDATA!$D$2:$D$20871,WORKING!B31,PERSALDATA!$E$2:$E$20871,WORKING!C31,PERSALDATA!$F$2:$F$20871,"S&amp;W: BASIC SALARY (RES)")</f>
        <v>5</v>
      </c>
      <c r="AC31" s="2">
        <f>SUMIFS(PERSALDATA!$H$2:$H$20871,PERSALDATA!$A$2:$A$20871,WORKING!A31,PERSALDATA!$D$2:$D$20871,WORKING!B31,PERSALDATA!$E$2:$E$20871,WORKING!C31)</f>
        <v>4217328.2000000011</v>
      </c>
    </row>
    <row r="32" spans="1:29" x14ac:dyDescent="0.25">
      <c r="A32" s="2">
        <f>Results!$D$3</f>
        <v>41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0.61904423314506418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4.1790478079661637E-2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2.147968763946535E-2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2.0314657667909162E-2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8.0475547997602856E-2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0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7.6012018079700568E-5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0.21681938345221699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0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1.4371944640118185E-2</v>
      </c>
      <c r="AB32" s="2">
        <f>SUMIFS(PERSALDATA!$G$2:$G$20871,PERSALDATA!$A$2:$A$20871,WORKING!A32,PERSALDATA!$D$2:$D$20871,WORKING!B32,PERSALDATA!$E$2:$E$20871,WORKING!C32,PERSALDATA!$F$2:$F$20871,"S&amp;W: BASIC SALARY (RES)")</f>
        <v>5</v>
      </c>
      <c r="AC32" s="2">
        <f>SUMIFS(PERSALDATA!$H$2:$H$20871,PERSALDATA!$A$2:$A$20871,WORKING!A32,PERSALDATA!$D$2:$D$20871,WORKING!B32,PERSALDATA!$E$2:$E$20871,WORKING!C32)</f>
        <v>4525205.4700000007</v>
      </c>
    </row>
    <row r="33" spans="1:29" x14ac:dyDescent="0.25">
      <c r="A33" s="2">
        <f>Results!$D$3</f>
        <v>41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0.65624153873166191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0.11088262205614233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0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0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8.531122033377532E-2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5.7754069264544414E-5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0.14750686480915579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1.4999133688961032E-2</v>
      </c>
      <c r="AB33" s="2">
        <f>SUMIFS(PERSALDATA!$G$2:$G$20871,PERSALDATA!$A$2:$A$20871,WORKING!A33,PERSALDATA!$D$2:$D$20871,WORKING!B33,PERSALDATA!$E$2:$E$20871,WORKING!C33,PERSALDATA!$F$2:$F$20871,"S&amp;W: BASIC SALARY (RES)")</f>
        <v>1</v>
      </c>
      <c r="AC33" s="2">
        <f>SUMIFS(PERSALDATA!$H$2:$H$20871,PERSALDATA!$A$2:$A$20871,WORKING!A33,PERSALDATA!$D$2:$D$20871,WORKING!B33,PERSALDATA!$E$2:$E$20871,WORKING!C33)</f>
        <v>504726.34000000008</v>
      </c>
    </row>
    <row r="34" spans="1:29" x14ac:dyDescent="0.25">
      <c r="A34" s="2">
        <f>Results!$D$3</f>
        <v>41</v>
      </c>
      <c r="B34" s="2">
        <v>2</v>
      </c>
      <c r="C34" s="2">
        <v>15</v>
      </c>
      <c r="D34" s="62" t="str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/>
      </c>
      <c r="E34" s="62" t="str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/>
      </c>
      <c r="F34" s="62" t="str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/>
      </c>
      <c r="G34" s="69" t="str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/>
      </c>
      <c r="H34" s="62" t="str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/>
      </c>
      <c r="I34" s="62" t="str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/>
      </c>
      <c r="J34" s="62" t="str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/>
      </c>
      <c r="K34" s="62" t="str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/>
      </c>
      <c r="L34" s="62" t="str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/>
      </c>
      <c r="M34" s="62" t="str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/>
      </c>
      <c r="N34" s="62" t="str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/>
      </c>
      <c r="O34" s="62" t="str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/>
      </c>
      <c r="P34" s="62" t="str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/>
      </c>
      <c r="Q34" s="62" t="str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/>
      </c>
      <c r="R34" s="62" t="str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/>
      </c>
      <c r="S34" s="62" t="str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/>
      </c>
      <c r="T34" s="62" t="str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/>
      </c>
      <c r="U34" s="62" t="str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/>
      </c>
      <c r="V34" s="62" t="str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/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0</v>
      </c>
      <c r="AB34" s="2">
        <f>SUMIFS(PERSALDATA!$G$2:$G$20871,PERSALDATA!$A$2:$A$20871,WORKING!A34,PERSALDATA!$D$2:$D$20871,WORKING!B34,PERSALDATA!$E$2:$E$20871,WORKING!C34,PERSALDATA!$F$2:$F$20871,"S&amp;W: BASIC SALARY (RES)")</f>
        <v>0</v>
      </c>
      <c r="AC34" s="2">
        <f>SUMIFS(PERSALDATA!$H$2:$H$20871,PERSALDATA!$A$2:$A$20871,WORKING!A34,PERSALDATA!$D$2:$D$20871,WORKING!B34,PERSALDATA!$E$2:$E$20871,WORKING!C34)</f>
        <v>0</v>
      </c>
    </row>
    <row r="35" spans="1:29" x14ac:dyDescent="0.25">
      <c r="A35" s="2">
        <f>Results!$D$3</f>
        <v>41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41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41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41</v>
      </c>
      <c r="B38" s="2">
        <v>3</v>
      </c>
      <c r="C38" s="2">
        <v>2</v>
      </c>
      <c r="D38" s="62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>0.72945039782094478</v>
      </c>
      <c r="E38" s="62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>0</v>
      </c>
      <c r="F38" s="62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>0</v>
      </c>
      <c r="G38" s="69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>0</v>
      </c>
      <c r="H38" s="62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>0</v>
      </c>
      <c r="I38" s="62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>0</v>
      </c>
      <c r="J38" s="62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>0</v>
      </c>
      <c r="K38" s="62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>6.5295498530571286E-4</v>
      </c>
      <c r="L38" s="62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>0</v>
      </c>
      <c r="M38" s="62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>0.26989664719374956</v>
      </c>
      <c r="N38" s="62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>0</v>
      </c>
      <c r="O38" s="62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>0</v>
      </c>
      <c r="P38" s="62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>0</v>
      </c>
      <c r="Q38" s="62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>0</v>
      </c>
      <c r="R38" s="62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>0</v>
      </c>
      <c r="S38" s="62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>0</v>
      </c>
      <c r="T38" s="62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>0</v>
      </c>
      <c r="U38" s="62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>0</v>
      </c>
      <c r="V38" s="62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>0</v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7.5999999999999998E-2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7.0000000000000007E-2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6.9000000000000006E-2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6.7000000000000004E-2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1.4990205675220414E-2</v>
      </c>
      <c r="AB38" s="2">
        <f>SUMIFS(PERSALDATA!$G$2:$G$20871,PERSALDATA!$A$2:$A$20871,WORKING!A38,PERSALDATA!$D$2:$D$20871,WORKING!B38,PERSALDATA!$E$2:$E$20871,WORKING!C38,PERSALDATA!$F$2:$F$20871,"S&amp;W: BASIC SALARY (RES)")</f>
        <v>1</v>
      </c>
      <c r="AC38" s="2">
        <f>SUMIFS(PERSALDATA!$H$2:$H$20871,PERSALDATA!$A$2:$A$20871,WORKING!A38,PERSALDATA!$D$2:$D$20871,WORKING!B38,PERSALDATA!$E$2:$E$20871,WORKING!C38)</f>
        <v>44643.199999999997</v>
      </c>
    </row>
    <row r="39" spans="1:29" x14ac:dyDescent="0.25">
      <c r="A39" s="2">
        <f>Results!$D$3</f>
        <v>41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41</v>
      </c>
      <c r="B40" s="2">
        <v>3</v>
      </c>
      <c r="C40" s="2">
        <v>4</v>
      </c>
      <c r="D40" s="62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>0.72959071133167253</v>
      </c>
      <c r="E40" s="62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>0</v>
      </c>
      <c r="F40" s="62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>0</v>
      </c>
      <c r="G40" s="69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>0</v>
      </c>
      <c r="H40" s="62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>0</v>
      </c>
      <c r="I40" s="62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>0</v>
      </c>
      <c r="J40" s="62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>0</v>
      </c>
      <c r="K40" s="62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>4.6092312703531555E-4</v>
      </c>
      <c r="L40" s="62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>0</v>
      </c>
      <c r="M40" s="62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>0.26994836554129215</v>
      </c>
      <c r="N40" s="62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>0</v>
      </c>
      <c r="O40" s="62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>0</v>
      </c>
      <c r="P40" s="62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>0</v>
      </c>
      <c r="Q40" s="62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>0</v>
      </c>
      <c r="R40" s="62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>0</v>
      </c>
      <c r="S40" s="62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>0</v>
      </c>
      <c r="T40" s="62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>0</v>
      </c>
      <c r="U40" s="62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>0</v>
      </c>
      <c r="V40" s="62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>0</v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7.5999999999999998E-2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7.0000000000000007E-2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6.9000000000000006E-2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6.7000000000000004E-2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1.499308615309447E-2</v>
      </c>
      <c r="AB40" s="2">
        <f>SUMIFS(PERSALDATA!$G$2:$G$20871,PERSALDATA!$A$2:$A$20871,WORKING!A40,PERSALDATA!$D$2:$D$20871,WORKING!B40,PERSALDATA!$E$2:$E$20871,WORKING!C40,PERSALDATA!$F$2:$F$20871,"S&amp;W: BASIC SALARY (RES)")</f>
        <v>1</v>
      </c>
      <c r="AC40" s="2">
        <f>SUMIFS(PERSALDATA!$H$2:$H$20871,PERSALDATA!$A$2:$A$20871,WORKING!A40,PERSALDATA!$D$2:$D$20871,WORKING!B40,PERSALDATA!$E$2:$E$20871,WORKING!C40)</f>
        <v>63242.65</v>
      </c>
    </row>
    <row r="41" spans="1:29" x14ac:dyDescent="0.25">
      <c r="A41" s="2">
        <f>Results!$D$3</f>
        <v>41</v>
      </c>
      <c r="B41" s="2">
        <v>3</v>
      </c>
      <c r="C41" s="2">
        <v>5</v>
      </c>
      <c r="D41" s="62" t="str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/>
      </c>
      <c r="E41" s="62" t="str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/>
      </c>
      <c r="F41" s="62" t="str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/>
      </c>
      <c r="G41" s="69" t="str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/>
      </c>
      <c r="H41" s="62" t="str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/>
      </c>
      <c r="I41" s="62" t="str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/>
      </c>
      <c r="J41" s="62" t="str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/>
      </c>
      <c r="K41" s="62" t="str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/>
      </c>
      <c r="L41" s="62" t="str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/>
      </c>
      <c r="M41" s="62" t="str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/>
      </c>
      <c r="N41" s="62" t="str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/>
      </c>
      <c r="O41" s="62" t="str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/>
      </c>
      <c r="P41" s="62" t="str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/>
      </c>
      <c r="Q41" s="62" t="str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/>
      </c>
      <c r="R41" s="62" t="str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/>
      </c>
      <c r="S41" s="62" t="str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/>
      </c>
      <c r="T41" s="62" t="str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/>
      </c>
      <c r="U41" s="62" t="str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/>
      </c>
      <c r="V41" s="62" t="str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/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7.3827684520804057E-2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7.0033119199051808E-2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6.9033119199051793E-2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6.7033119199051777E-2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0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0</v>
      </c>
    </row>
    <row r="42" spans="1:29" x14ac:dyDescent="0.25">
      <c r="A42" s="2">
        <f>Results!$D$3</f>
        <v>41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0.71040977913671677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5.941984240730714E-2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5.8770106232844024E-2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0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7.8743235669606129E-2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9.235247680300375E-2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0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3.0455975052220502E-4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0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0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7.2635877225678339E-2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7.0593447472715662E-2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6.9593447472715647E-2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6.7593447472715659E-2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1.2932731475205414E-2</v>
      </c>
      <c r="AB42" s="2">
        <f>SUMIFS(PERSALDATA!$G$2:$G$20871,PERSALDATA!$A$2:$A$20871,WORKING!A42,PERSALDATA!$D$2:$D$20871,WORKING!B42,PERSALDATA!$E$2:$E$20871,WORKING!C42,PERSALDATA!$F$2:$F$20871,"S&amp;W: BASIC SALARY (RES)")</f>
        <v>1</v>
      </c>
      <c r="AC42" s="2">
        <f>SUMIFS(PERSALDATA!$H$2:$H$20871,PERSALDATA!$A$2:$A$20871,WORKING!A42,PERSALDATA!$D$2:$D$20871,WORKING!B42,PERSALDATA!$E$2:$E$20871,WORKING!C42)</f>
        <v>229708.62</v>
      </c>
    </row>
    <row r="43" spans="1:29" x14ac:dyDescent="0.25">
      <c r="A43" s="2">
        <f>Results!$D$3</f>
        <v>41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0.73591732309161839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5.2565523077972735E-2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3.760074710434879E-2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0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4.6446162173693413E-2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7.8584870494189191E-2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0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2.6230538279119214E-4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4.8623068675386426E-2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7.3792589490501215E-2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7.0320684961561922E-2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6.9320684961561921E-2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6.7320684961561933E-2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1.37353617800875E-2</v>
      </c>
      <c r="AB43" s="2">
        <f>SUMIFS(PERSALDATA!$G$2:$G$20871,PERSALDATA!$A$2:$A$20871,WORKING!A43,PERSALDATA!$D$2:$D$20871,WORKING!B43,PERSALDATA!$E$2:$E$20871,WORKING!C43,PERSALDATA!$F$2:$F$20871,"S&amp;W: BASIC SALARY (RES)")</f>
        <v>2</v>
      </c>
      <c r="AC43" s="2">
        <f>SUMIFS(PERSALDATA!$H$2:$H$20871,PERSALDATA!$A$2:$A$20871,WORKING!A43,PERSALDATA!$D$2:$D$20871,WORKING!B43,PERSALDATA!$E$2:$E$20871,WORKING!C43)</f>
        <v>622328.05999999994</v>
      </c>
    </row>
    <row r="44" spans="1:29" x14ac:dyDescent="0.25">
      <c r="A44" s="2">
        <f>Results!$D$3</f>
        <v>41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0.74198657093628362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6.7453324630571229E-2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4.1842331122608156E-2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0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5.2047210768622038E-2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9.6457598359780614E-2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0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2.1296418213435404E-4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0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0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7.3548643785442486E-2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7.0362284850303256E-2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6.9362284850303255E-2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6.7362284850303253E-2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1.3588462408899531E-2</v>
      </c>
      <c r="AB44" s="2">
        <f>SUMIFS(PERSALDATA!$G$2:$G$20871,PERSALDATA!$A$2:$A$20871,WORKING!A44,PERSALDATA!$D$2:$D$20871,WORKING!B44,PERSALDATA!$E$2:$E$20871,WORKING!C44,PERSALDATA!$F$2:$F$20871,"S&amp;W: BASIC SALARY (RES)")</f>
        <v>1</v>
      </c>
      <c r="AC44" s="2">
        <f>SUMIFS(PERSALDATA!$H$2:$H$20871,PERSALDATA!$A$2:$A$20871,WORKING!A44,PERSALDATA!$D$2:$D$20871,WORKING!B44,PERSALDATA!$E$2:$E$20871,WORKING!C44)</f>
        <v>301130.45</v>
      </c>
    </row>
    <row r="45" spans="1:29" x14ac:dyDescent="0.25">
      <c r="A45" s="2">
        <f>Results!$D$3</f>
        <v>41</v>
      </c>
      <c r="B45" s="2">
        <v>3</v>
      </c>
      <c r="C45" s="2">
        <v>9</v>
      </c>
      <c r="D45" s="62" t="str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/>
      </c>
      <c r="E45" s="62" t="str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/>
      </c>
      <c r="F45" s="62" t="str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/>
      </c>
      <c r="G45" s="69" t="str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/>
      </c>
      <c r="H45" s="62" t="str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/>
      </c>
      <c r="I45" s="62" t="str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/>
      </c>
      <c r="J45" s="62" t="str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/>
      </c>
      <c r="K45" s="62" t="str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/>
      </c>
      <c r="L45" s="62" t="str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/>
      </c>
      <c r="M45" s="62" t="str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/>
      </c>
      <c r="N45" s="62" t="str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/>
      </c>
      <c r="O45" s="62" t="str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/>
      </c>
      <c r="P45" s="62" t="str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/>
      </c>
      <c r="Q45" s="62" t="str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/>
      </c>
      <c r="R45" s="62" t="str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/>
      </c>
      <c r="S45" s="62" t="str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/>
      </c>
      <c r="T45" s="62" t="str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/>
      </c>
      <c r="U45" s="62" t="str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/>
      </c>
      <c r="V45" s="62" t="str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/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7.3827684520804057E-2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7.0033119199051808E-2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6.9033119199051793E-2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6.7033119199051777E-2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0</v>
      </c>
      <c r="AB45" s="2">
        <f>SUMIFS(PERSALDATA!$G$2:$G$20871,PERSALDATA!$A$2:$A$20871,WORKING!A45,PERSALDATA!$D$2:$D$20871,WORKING!B45,PERSALDATA!$E$2:$E$20871,WORKING!C45,PERSALDATA!$F$2:$F$20871,"S&amp;W: BASIC SALARY (RES)")</f>
        <v>0</v>
      </c>
      <c r="AC45" s="2">
        <f>SUMIFS(PERSALDATA!$H$2:$H$20871,PERSALDATA!$A$2:$A$20871,WORKING!A45,PERSALDATA!$D$2:$D$20871,WORKING!B45,PERSALDATA!$E$2:$E$20871,WORKING!C45)</f>
        <v>0</v>
      </c>
    </row>
    <row r="46" spans="1:29" x14ac:dyDescent="0.25">
      <c r="A46" s="2">
        <f>Results!$D$3</f>
        <v>41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0.75939750179656884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6.7882592408095396E-2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2.805243508236473E-2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0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4.5802216412310033E-2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9.8721251800571577E-2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0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1.4400250008947226E-4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0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0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7.4509245963512619E-2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7.0406508895361028E-2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6.9406508895361013E-2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6.7406508895361011E-2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1.3890020190078537E-2</v>
      </c>
      <c r="AB46" s="2">
        <f>SUMIFS(PERSALDATA!$G$2:$G$20871,PERSALDATA!$A$2:$A$20871,WORKING!A46,PERSALDATA!$D$2:$D$20871,WORKING!B46,PERSALDATA!$E$2:$E$20871,WORKING!C46,PERSALDATA!$F$2:$F$20871,"S&amp;W: BASIC SALARY (RES)")</f>
        <v>5</v>
      </c>
      <c r="AC46" s="2">
        <f>SUMIFS(PERSALDATA!$H$2:$H$20871,PERSALDATA!$A$2:$A$20871,WORKING!A46,PERSALDATA!$D$2:$D$20871,WORKING!B46,PERSALDATA!$E$2:$E$20871,WORKING!C46)</f>
        <v>2267182.86</v>
      </c>
    </row>
    <row r="47" spans="1:29" x14ac:dyDescent="0.25">
      <c r="A47" s="2">
        <f>Results!$D$3</f>
        <v>41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0.74567205620571442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6.7788368745974034E-2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0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0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0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9.6936918064755406E-2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0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1.2212754835088293E-4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8.9480529435205319E-2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0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1.4998168086774736E-2</v>
      </c>
      <c r="AB47" s="2">
        <f>SUMIFS(PERSALDATA!$G$2:$G$20871,PERSALDATA!$A$2:$A$20871,WORKING!A47,PERSALDATA!$D$2:$D$20871,WORKING!B47,PERSALDATA!$E$2:$E$20871,WORKING!C47,PERSALDATA!$F$2:$F$20871,"S&amp;W: BASIC SALARY (RES)")</f>
        <v>1</v>
      </c>
      <c r="AC47" s="2">
        <f>SUMIFS(PERSALDATA!$H$2:$H$20871,PERSALDATA!$A$2:$A$20871,WORKING!A47,PERSALDATA!$D$2:$D$20871,WORKING!B47,PERSALDATA!$E$2:$E$20871,WORKING!C47)</f>
        <v>525106.75</v>
      </c>
    </row>
    <row r="48" spans="1:29" x14ac:dyDescent="0.25">
      <c r="A48" s="2">
        <f>Results!$D$3</f>
        <v>41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0.7310951130687825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5.4075809227335007E-2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0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8.5026911629944703E-4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2.9738399782676134E-2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9.5042076786598276E-2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0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1.0211870658357441E-4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8.9096213311725167E-2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1.4552392222661106E-2</v>
      </c>
      <c r="AB48" s="2">
        <f>SUMIFS(PERSALDATA!$G$2:$G$20871,PERSALDATA!$A$2:$A$20871,WORKING!A48,PERSALDATA!$D$2:$D$20871,WORKING!B48,PERSALDATA!$E$2:$E$20871,WORKING!C48,PERSALDATA!$F$2:$F$20871,"S&amp;W: BASIC SALARY (RES)")</f>
        <v>2</v>
      </c>
      <c r="AC48" s="2">
        <f>SUMIFS(PERSALDATA!$H$2:$H$20871,PERSALDATA!$A$2:$A$20871,WORKING!A48,PERSALDATA!$D$2:$D$20871,WORKING!B48,PERSALDATA!$E$2:$E$20871,WORKING!C48)</f>
        <v>1541441.38</v>
      </c>
    </row>
    <row r="49" spans="1:29" x14ac:dyDescent="0.25">
      <c r="A49" s="2">
        <f>Results!$D$3</f>
        <v>41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0.67471349590176932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5.7338307727688199E-2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0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6.5843849762903459E-3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8.1471603412865787E-2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0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7.447006995064205E-5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0.17981773791143579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0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1.4900117174306386E-2</v>
      </c>
      <c r="AB49" s="2">
        <f>SUMIFS(PERSALDATA!$G$2:$G$20871,PERSALDATA!$A$2:$A$20871,WORKING!A49,PERSALDATA!$D$2:$D$20871,WORKING!B49,PERSALDATA!$E$2:$E$20871,WORKING!C49,PERSALDATA!$F$2:$F$20871,"S&amp;W: BASIC SALARY (RES)")</f>
        <v>8</v>
      </c>
      <c r="AC49" s="2">
        <f>SUMIFS(PERSALDATA!$H$2:$H$20871,PERSALDATA!$A$2:$A$20871,WORKING!A49,PERSALDATA!$D$2:$D$20871,WORKING!B49,PERSALDATA!$E$2:$E$20871,WORKING!C49)</f>
        <v>6184632.2999999989</v>
      </c>
    </row>
    <row r="50" spans="1:29" x14ac:dyDescent="0.25">
      <c r="A50" s="2">
        <f>Results!$D$3</f>
        <v>41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0.70784395877113793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4.6172089199797789E-2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0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1.0012685615747037E-2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9.2019535941622696E-2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0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6.3701738942247769E-5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0.14388802873275228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1.4848854189679659E-2</v>
      </c>
      <c r="AB50" s="2">
        <f>SUMIFS(PERSALDATA!$G$2:$G$20871,PERSALDATA!$A$2:$A$20871,WORKING!A50,PERSALDATA!$D$2:$D$20871,WORKING!B50,PERSALDATA!$E$2:$E$20871,WORKING!C50,PERSALDATA!$F$2:$F$20871,"S&amp;W: BASIC SALARY (RES)")</f>
        <v>3</v>
      </c>
      <c r="AC50" s="2">
        <f>SUMIFS(PERSALDATA!$H$2:$H$20871,PERSALDATA!$A$2:$A$20871,WORKING!A50,PERSALDATA!$D$2:$D$20871,WORKING!B50,PERSALDATA!$E$2:$E$20871,WORKING!C50)</f>
        <v>2013445.82</v>
      </c>
    </row>
    <row r="51" spans="1:29" x14ac:dyDescent="0.25">
      <c r="A51" s="2">
        <f>Results!$D$3</f>
        <v>41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41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41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41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41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41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41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41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0.77393059631132433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4.1894394153263223E-2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4.0184641129592219E-2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0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3.5828582470557833E-3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5.7040704144685254E-2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0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3.9998419621918498E-4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8.2966821817859943E-2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0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0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0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7.2996127289609775E-2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6.9651896462409907E-2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6.8651896462409906E-2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6.6651896462409918E-2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1.4337487746406991E-2</v>
      </c>
      <c r="AB58" s="2">
        <f>SUMIFS(PERSALDATA!$G$2:$G$20871,PERSALDATA!$A$2:$A$20871,WORKING!A58,PERSALDATA!$D$2:$D$20871,WORKING!B58,PERSALDATA!$E$2:$E$20871,WORKING!C58,PERSALDATA!$F$2:$F$20871,"S&amp;W: BASIC SALARY (RES)")</f>
        <v>2</v>
      </c>
      <c r="AC58" s="2">
        <f>SUMIFS(PERSALDATA!$H$2:$H$20871,PERSALDATA!$A$2:$A$20871,WORKING!A58,PERSALDATA!$D$2:$D$20871,WORKING!B58,PERSALDATA!$E$2:$E$20871,WORKING!C58)</f>
        <v>918261.28</v>
      </c>
    </row>
    <row r="59" spans="1:29" x14ac:dyDescent="0.25">
      <c r="A59" s="2">
        <f>Results!$D$3</f>
        <v>41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0.69144273740909612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5.7833869038048859E-2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5.5497821833821522E-2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0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0.10505121030677593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8.9886759366665431E-2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0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2.8760204559215947E-4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0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0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0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7.3252882484924439E-2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7.1020789936263443E-2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7.0020789936263414E-2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6.802078993626344E-2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1.2587450487207155E-2</v>
      </c>
      <c r="AB59" s="2">
        <f>SUMIFS(PERSALDATA!$G$2:$G$20871,PERSALDATA!$A$2:$A$20871,WORKING!A59,PERSALDATA!$D$2:$D$20871,WORKING!B59,PERSALDATA!$E$2:$E$20871,WORKING!C59,PERSALDATA!$F$2:$F$20871,"S&amp;W: BASIC SALARY (RES)")</f>
        <v>2</v>
      </c>
      <c r="AC59" s="2">
        <f>SUMIFS(PERSALDATA!$H$2:$H$20871,PERSALDATA!$A$2:$A$20871,WORKING!A59,PERSALDATA!$D$2:$D$20871,WORKING!B59,PERSALDATA!$E$2:$E$20871,WORKING!C59)</f>
        <v>486505.57999999996</v>
      </c>
    </row>
    <row r="60" spans="1:29" x14ac:dyDescent="0.25">
      <c r="A60" s="2">
        <f>Results!$D$3</f>
        <v>41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0.73709263269379144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4.643233244300974E-2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4.5736258681497478E-2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0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7.4667785591307906E-2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9.5821500636603246E-2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0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2.494899537900634E-4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0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0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0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7.3569393338484487E-2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7.0662654197054642E-2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6.9662654197054627E-2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6.7662654197054639E-2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1.3190196986601066E-2</v>
      </c>
      <c r="AB60" s="2">
        <f>SUMIFS(PERSALDATA!$G$2:$G$20871,PERSALDATA!$A$2:$A$20871,WORKING!A60,PERSALDATA!$D$2:$D$20871,WORKING!B60,PERSALDATA!$E$2:$E$20871,WORKING!C60,PERSALDATA!$F$2:$F$20871,"S&amp;W: BASIC SALARY (RES)")</f>
        <v>1</v>
      </c>
      <c r="AC60" s="2">
        <f>SUMIFS(PERSALDATA!$H$2:$H$20871,PERSALDATA!$A$2:$A$20871,WORKING!A60,PERSALDATA!$D$2:$D$20871,WORKING!B60,PERSALDATA!$E$2:$E$20871,WORKING!C60)</f>
        <v>373882.79000000004</v>
      </c>
    </row>
    <row r="61" spans="1:29" x14ac:dyDescent="0.25">
      <c r="A61" s="2">
        <f>Results!$D$3</f>
        <v>41</v>
      </c>
      <c r="B61" s="2">
        <v>4</v>
      </c>
      <c r="C61" s="2">
        <v>8</v>
      </c>
      <c r="D61" s="62" t="str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/>
      </c>
      <c r="E61" s="62" t="str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/>
      </c>
      <c r="F61" s="62" t="str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/>
      </c>
      <c r="G61" s="69" t="str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/>
      </c>
      <c r="H61" s="62" t="str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/>
      </c>
      <c r="I61" s="62" t="str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/>
      </c>
      <c r="J61" s="62" t="str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/>
      </c>
      <c r="K61" s="62" t="str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/>
      </c>
      <c r="L61" s="62" t="str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/>
      </c>
      <c r="M61" s="62" t="str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/>
      </c>
      <c r="N61" s="62" t="str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/>
      </c>
      <c r="O61" s="62" t="str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/>
      </c>
      <c r="P61" s="62" t="str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/>
      </c>
      <c r="Q61" s="62" t="str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/>
      </c>
      <c r="R61" s="62" t="str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/>
      </c>
      <c r="S61" s="62" t="str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/>
      </c>
      <c r="T61" s="62" t="str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/>
      </c>
      <c r="U61" s="62" t="str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/>
      </c>
      <c r="V61" s="62" t="str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/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7.3827684520804057E-2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7.0033119199051808E-2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6.9033119199051793E-2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6.7033119199051777E-2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0</v>
      </c>
      <c r="AB61" s="2">
        <f>SUMIFS(PERSALDATA!$G$2:$G$20871,PERSALDATA!$A$2:$A$20871,WORKING!A61,PERSALDATA!$D$2:$D$20871,WORKING!B61,PERSALDATA!$E$2:$E$20871,WORKING!C61,PERSALDATA!$F$2:$F$20871,"S&amp;W: BASIC SALARY (RES)")</f>
        <v>0</v>
      </c>
      <c r="AC61" s="2">
        <f>SUMIFS(PERSALDATA!$H$2:$H$20871,PERSALDATA!$A$2:$A$20871,WORKING!A61,PERSALDATA!$D$2:$D$20871,WORKING!B61,PERSALDATA!$E$2:$E$20871,WORKING!C61)</f>
        <v>0</v>
      </c>
    </row>
    <row r="62" spans="1:29" x14ac:dyDescent="0.25">
      <c r="A62" s="2">
        <f>Results!$D$3</f>
        <v>41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0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0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0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0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0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0.65722587829888635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0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0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0.34277412170111371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0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7.5999999999999998E-2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7.0000000000000007E-2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6.9000000000000006E-2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6.7000000000000004E-2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1.4999999999999999E-2</v>
      </c>
      <c r="AB62" s="2">
        <f>SUMIFS(PERSALDATA!$G$2:$G$20871,PERSALDATA!$A$2:$A$20871,WORKING!A62,PERSALDATA!$D$2:$D$20871,WORKING!B62,PERSALDATA!$E$2:$E$20871,WORKING!C62,PERSALDATA!$F$2:$F$20871,"S&amp;W: BASIC SALARY (RES)")</f>
        <v>0</v>
      </c>
      <c r="AC62" s="2">
        <f>SUMIFS(PERSALDATA!$H$2:$H$20871,PERSALDATA!$A$2:$A$20871,WORKING!A62,PERSALDATA!$D$2:$D$20871,WORKING!B62,PERSALDATA!$E$2:$E$20871,WORKING!C62)</f>
        <v>33413.17</v>
      </c>
    </row>
    <row r="63" spans="1:29" x14ac:dyDescent="0.25">
      <c r="A63" s="2">
        <f>Results!$D$3</f>
        <v>41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0.75356755017327226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4.4603657801113264E-2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2.0201568736910605E-2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4.4451591047434325E-4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2.8103120054593079E-2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7.048453376283989E-2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0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1.4380359674748337E-4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0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8.2451249964049095E-2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0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0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0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0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7.4858124456759087E-2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7.0219531113449807E-2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6.9219531113449806E-2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6.721953111344979E-2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1.4273272614176231E-2</v>
      </c>
      <c r="AB63" s="2">
        <f>SUMIFS(PERSALDATA!$G$2:$G$20871,PERSALDATA!$A$2:$A$20871,WORKING!A63,PERSALDATA!$D$2:$D$20871,WORKING!B63,PERSALDATA!$E$2:$E$20871,WORKING!C63,PERSALDATA!$F$2:$F$20871,"S&amp;W: BASIC SALARY (RES)")</f>
        <v>7</v>
      </c>
      <c r="AC63" s="2">
        <f>SUMIFS(PERSALDATA!$H$2:$H$20871,PERSALDATA!$A$2:$A$20871,WORKING!A63,PERSALDATA!$D$2:$D$20871,WORKING!B63,PERSALDATA!$E$2:$E$20871,WORKING!C63)</f>
        <v>4054140.5999999996</v>
      </c>
    </row>
    <row r="64" spans="1:29" x14ac:dyDescent="0.25">
      <c r="A64" s="2">
        <f>Results!$D$3</f>
        <v>41</v>
      </c>
      <c r="B64" s="2">
        <v>4</v>
      </c>
      <c r="C64" s="2">
        <v>11</v>
      </c>
      <c r="D64" s="62" t="str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/>
      </c>
      <c r="E64" s="62" t="str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/>
      </c>
      <c r="F64" s="62" t="str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/>
      </c>
      <c r="G64" s="69" t="str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/>
      </c>
      <c r="H64" s="62" t="str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/>
      </c>
      <c r="I64" s="62" t="str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/>
      </c>
      <c r="J64" s="62" t="str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/>
      </c>
      <c r="K64" s="62" t="str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/>
      </c>
      <c r="L64" s="62" t="str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/>
      </c>
      <c r="M64" s="62" t="str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/>
      </c>
      <c r="N64" s="62" t="str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/>
      </c>
      <c r="O64" s="62" t="str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/>
      </c>
      <c r="P64" s="62" t="str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/>
      </c>
      <c r="Q64" s="62" t="str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/>
      </c>
      <c r="R64" s="62" t="str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/>
      </c>
      <c r="S64" s="62" t="str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/>
      </c>
      <c r="T64" s="62" t="str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/>
      </c>
      <c r="U64" s="62" t="str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/>
      </c>
      <c r="V64" s="62" t="str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/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0</v>
      </c>
      <c r="AB64" s="2">
        <f>SUMIFS(PERSALDATA!$G$2:$G$20871,PERSALDATA!$A$2:$A$20871,WORKING!A64,PERSALDATA!$D$2:$D$20871,WORKING!B64,PERSALDATA!$E$2:$E$20871,WORKING!C64,PERSALDATA!$F$2:$F$20871,"S&amp;W: BASIC SALARY (RES)")</f>
        <v>0</v>
      </c>
      <c r="AC64" s="2">
        <f>SUMIFS(PERSALDATA!$H$2:$H$20871,PERSALDATA!$A$2:$A$20871,WORKING!A64,PERSALDATA!$D$2:$D$20871,WORKING!B64,PERSALDATA!$E$2:$E$20871,WORKING!C64)</f>
        <v>0</v>
      </c>
    </row>
    <row r="65" spans="1:29" x14ac:dyDescent="0.25">
      <c r="A65" s="2">
        <f>Results!$D$3</f>
        <v>41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0.74664891318256998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5.7000829716311673E-2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0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4.9523165716753496E-4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2.5150017625794361E-2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9.7064135212600919E-2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0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1.0573889621998639E-4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7.353513370933569E-2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0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0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1.4621163652169785E-2</v>
      </c>
      <c r="AB65" s="2">
        <f>SUMIFS(PERSALDATA!$G$2:$G$20871,PERSALDATA!$A$2:$A$20871,WORKING!A65,PERSALDATA!$D$2:$D$20871,WORKING!B65,PERSALDATA!$E$2:$E$20871,WORKING!C65,PERSALDATA!$F$2:$F$20871,"S&amp;W: BASIC SALARY (RES)")</f>
        <v>4</v>
      </c>
      <c r="AC65" s="2">
        <f>SUMIFS(PERSALDATA!$H$2:$H$20871,PERSALDATA!$A$2:$A$20871,WORKING!A65,PERSALDATA!$D$2:$D$20871,WORKING!B65,PERSALDATA!$E$2:$E$20871,WORKING!C65)</f>
        <v>2646519.0199999991</v>
      </c>
    </row>
    <row r="66" spans="1:29" x14ac:dyDescent="0.25">
      <c r="A66" s="2">
        <f>Results!$D$3</f>
        <v>41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0.67674351753792494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5.6395293128160412E-2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1.1753611804411861E-2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0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8.7976500770845803E-2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0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7.7108278491809238E-5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0.13390736505776638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3.3146603422398849E-2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0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1.4822539198756446E-2</v>
      </c>
      <c r="AB66" s="2">
        <f>SUMIFS(PERSALDATA!$G$2:$G$20871,PERSALDATA!$A$2:$A$20871,WORKING!A66,PERSALDATA!$D$2:$D$20871,WORKING!B66,PERSALDATA!$E$2:$E$20871,WORKING!C66,PERSALDATA!$F$2:$F$20871,"S&amp;W: BASIC SALARY (RES)")</f>
        <v>3</v>
      </c>
      <c r="AC66" s="2">
        <f>SUMIFS(PERSALDATA!$H$2:$H$20871,PERSALDATA!$A$2:$A$20871,WORKING!A66,PERSALDATA!$D$2:$D$20871,WORKING!B66,PERSALDATA!$E$2:$E$20871,WORKING!C66)</f>
        <v>2721886.73</v>
      </c>
    </row>
    <row r="67" spans="1:29" x14ac:dyDescent="0.25">
      <c r="A67" s="2">
        <f>Results!$D$3</f>
        <v>41</v>
      </c>
      <c r="B67" s="2">
        <v>4</v>
      </c>
      <c r="C67" s="2">
        <v>14</v>
      </c>
      <c r="D67" s="62" t="str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/>
      </c>
      <c r="E67" s="62" t="str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/>
      </c>
      <c r="F67" s="62" t="str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/>
      </c>
      <c r="G67" s="69" t="str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/>
      </c>
      <c r="H67" s="62" t="str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/>
      </c>
      <c r="I67" s="62" t="str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/>
      </c>
      <c r="J67" s="62" t="str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/>
      </c>
      <c r="K67" s="62" t="str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/>
      </c>
      <c r="L67" s="62" t="str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/>
      </c>
      <c r="M67" s="62" t="str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/>
      </c>
      <c r="N67" s="62" t="str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/>
      </c>
      <c r="O67" s="62" t="str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/>
      </c>
      <c r="P67" s="62" t="str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/>
      </c>
      <c r="Q67" s="62" t="str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/>
      </c>
      <c r="R67" s="62" t="str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/>
      </c>
      <c r="S67" s="62" t="str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/>
      </c>
      <c r="T67" s="62" t="str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/>
      </c>
      <c r="U67" s="62" t="str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/>
      </c>
      <c r="V67" s="62" t="str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/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0</v>
      </c>
      <c r="AB67" s="2">
        <f>SUMIFS(PERSALDATA!$G$2:$G$20871,PERSALDATA!$A$2:$A$20871,WORKING!A67,PERSALDATA!$D$2:$D$20871,WORKING!B67,PERSALDATA!$E$2:$E$20871,WORKING!C67,PERSALDATA!$F$2:$F$20871,"S&amp;W: BASIC SALARY (RES)")</f>
        <v>0</v>
      </c>
      <c r="AC67" s="2">
        <f>SUMIFS(PERSALDATA!$H$2:$H$20871,PERSALDATA!$A$2:$A$20871,WORKING!A67,PERSALDATA!$D$2:$D$20871,WORKING!B67,PERSALDATA!$E$2:$E$20871,WORKING!C67)</f>
        <v>0</v>
      </c>
    </row>
    <row r="68" spans="1:29" x14ac:dyDescent="0.25">
      <c r="A68" s="2">
        <f>Results!$D$3</f>
        <v>41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41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41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41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41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41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41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41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41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41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41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41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41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41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41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41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41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41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41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41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41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41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41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41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41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41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41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41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41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41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41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41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41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41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41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41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41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41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41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41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41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41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41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41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41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41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41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41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41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41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41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41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41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41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41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41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41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41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41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41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41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41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41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41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41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41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41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41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41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41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41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41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41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41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41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41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41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41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41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41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41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41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41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41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41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41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41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41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41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41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41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41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41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41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41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41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41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41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41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41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41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41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41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41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41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41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41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41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41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41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41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41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41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41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41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41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41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41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41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41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41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41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41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41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41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41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41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41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41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41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41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41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41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41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41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41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41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41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41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41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41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41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41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41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41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41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41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41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41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41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41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41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41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41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41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41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41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41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41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41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41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41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41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41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41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41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41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41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41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41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41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41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41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41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41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41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41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41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41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41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41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41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41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41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41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41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41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41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41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41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41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41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41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41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41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41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41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41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41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41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41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41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41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41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41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41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41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41</v>
      </c>
      <c r="E3" s="74" t="str">
        <f>INDEX(MAPs!$I$7:$J$54,MATCH(Results!$D$3,MAPs!$I$7:$I$54,0),2)</f>
        <v>Civilian Secretariat for Police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40.5</v>
      </c>
      <c r="N9" s="148">
        <f>IFERROR(SUMIFS('Employee Profile (2)'!C$4:C$50,'Employee Profile (2)'!$B$4:$B$50,Results!$D$3),"")</f>
        <v>0.34615384615384615</v>
      </c>
      <c r="O9" s="150" t="s">
        <v>620</v>
      </c>
      <c r="P9" s="143">
        <f>IFERROR(INDEX('Employee Profile (2)'!$AC$4:$AC$50,MATCH(Results!$D$3,'Employee Profile (2)'!$B$4:$B$50,0))*$Q9,"")</f>
        <v>88.2</v>
      </c>
      <c r="Q9" s="148">
        <f>IFERROR(SUMIFS('Employee Profile (2)'!J$4:J$50,'Employee Profile (2)'!$B$4:$B$50,Results!$D$3),"")</f>
        <v>0.75384615384615383</v>
      </c>
      <c r="R9" s="150" t="s">
        <v>627</v>
      </c>
      <c r="S9" s="144">
        <f>IFERROR(INDEX('Employee Profile (2)'!$AC$4:$AC$50,MATCH(Results!$D$3,'Employee Profile (2)'!$B$4:$B$50,0))*$T9,"")</f>
        <v>0.9</v>
      </c>
      <c r="T9" s="147">
        <f>IFERROR(SUMIFS('Employee Profile (2)'!N$4:N$50,'Employee Profile (2)'!$B$4:$B$50,Results!$D$3),"")</f>
        <v>7.6923076923076927E-3</v>
      </c>
      <c r="U9" s="150" t="s">
        <v>632</v>
      </c>
      <c r="V9" s="144">
        <f>IFERROR(INDEX('Employee Profile (2)'!$AC$4:$AC$50,MATCH(Results!$D$3,'Employee Profile (2)'!$B$4:$B$50,0))*$W9,"")</f>
        <v>60.3</v>
      </c>
      <c r="W9" s="147">
        <f>IFERROR(SUMIFS('Employee Profile (2)'!S$4:S$50,'Employee Profile (2)'!$B$4:$B$50,Results!$D$3),"")</f>
        <v>0.51538461538461533</v>
      </c>
      <c r="X9" s="150" t="s">
        <v>635</v>
      </c>
      <c r="Y9" s="144">
        <f>IFERROR(INDEX('Employee Profile (2)'!$AC$4:$AC$50,MATCH(Results!$D$3,'Employee Profile (2)'!$B$4:$B$50,0))*$Z9,"")</f>
        <v>101.7</v>
      </c>
      <c r="Z9" s="147">
        <f>IFERROR(SUMIFS('Employee Profile (2)'!V$4:V$50,'Employee Profile (2)'!$B$4:$B$50,Results!$D$3),"")</f>
        <v>0.86923076923076925</v>
      </c>
      <c r="AA9" s="150" t="s">
        <v>675</v>
      </c>
      <c r="AB9" s="144">
        <f>IFERROR(SUMIFS('Employee Profile (2)'!$AD$4:$AD$50,'Employee Profile (2)'!$B$4:$B$50,Results!$D$3),"")</f>
        <v>53</v>
      </c>
      <c r="AC9" s="147">
        <f>IFERROR(SUMIFS('Employee Profile (2)'!$AE$4:$AE$50,'Employee Profile (2)'!$B$4:$B$50,Results!$D$3),"")</f>
        <v>0.45299145299145299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58.5</v>
      </c>
      <c r="N10" s="148">
        <f>IFERROR(SUMIFS('Employee Profile (2)'!D$4:D$50,'Employee Profile (2)'!$B$4:$B$50,Results!$D$3),"")</f>
        <v>0.5</v>
      </c>
      <c r="O10" s="150" t="s">
        <v>621</v>
      </c>
      <c r="P10" s="143">
        <f>IFERROR(INDEX('Employee Profile (2)'!$AC$4:$AC$50,MATCH(Results!$D$3,'Employee Profile (2)'!$B$4:$B$50,0))*$Q10,"")</f>
        <v>24.3</v>
      </c>
      <c r="Q10" s="148">
        <f>IFERROR(SUMIFS('Employee Profile (2)'!K$4:K$50,'Employee Profile (2)'!$B$4:$B$50,Results!$D$3),"")</f>
        <v>0.2076923076923077</v>
      </c>
      <c r="R10" s="150" t="s">
        <v>628</v>
      </c>
      <c r="S10" s="144">
        <f>IFERROR(INDEX('Employee Profile (2)'!$AC$4:$AC$50,MATCH(Results!$D$3,'Employee Profile (2)'!$B$4:$B$50,0))*$T10,"")</f>
        <v>81</v>
      </c>
      <c r="T10" s="147">
        <f>IFERROR(SUMIFS('Employee Profile (2)'!O$4:O$50,'Employee Profile (2)'!$B$4:$B$50,Results!$D$3),"")</f>
        <v>0.69230769230769229</v>
      </c>
      <c r="U10" s="150" t="s">
        <v>633</v>
      </c>
      <c r="V10" s="144">
        <f>IFERROR(INDEX('Employee Profile (2)'!$AC$4:$AC$50,MATCH(Results!$D$3,'Employee Profile (2)'!$B$4:$B$50,0))*$W10,"")</f>
        <v>54</v>
      </c>
      <c r="W10" s="147">
        <f>IFERROR(SUMIFS('Employee Profile (2)'!T$4:T$50,'Employee Profile (2)'!$B$4:$B$50,Results!$D$3),"")</f>
        <v>0.46153846153846156</v>
      </c>
      <c r="X10" s="150" t="s">
        <v>636</v>
      </c>
      <c r="Y10" s="144">
        <f>IFERROR(INDEX('Employee Profile (2)'!$AC$4:$AC$50,MATCH(Results!$D$3,'Employee Profile (2)'!$B$4:$B$50,0))*$Z10,"")</f>
        <v>4.5</v>
      </c>
      <c r="Z10" s="147">
        <f>IFERROR(SUMIFS('Employee Profile (2)'!W$4:W$50,'Employee Profile (2)'!$B$4:$B$50,Results!$D$3),"")</f>
        <v>3.8461538461538464E-2</v>
      </c>
      <c r="AA10" s="150" t="s">
        <v>676</v>
      </c>
      <c r="AB10" s="144">
        <f>IFERROR(INDEX('Employee Profile (2)'!$AC$4:$AC$50,MATCH(Results!$D$3,'Employee Profile (2)'!$B$4:$B$50))-$AB$9,"")</f>
        <v>64</v>
      </c>
      <c r="AC10" s="147">
        <f>IFERROR(100%-$AC$9,"")</f>
        <v>0.54700854700854706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8.1</v>
      </c>
      <c r="N11" s="148">
        <f>IFERROR(SUMIFS('Employee Profile (2)'!E$4:E$50,'Employee Profile (2)'!$B$4:$B$50,Results!$D$3),"")</f>
        <v>6.9230769230769235E-2</v>
      </c>
      <c r="O11" s="150" t="s">
        <v>622</v>
      </c>
      <c r="P11" s="143">
        <f>IFERROR(INDEX('Employee Profile (2)'!$AC$4:$AC$50,MATCH(Results!$D$3,'Employee Profile (2)'!$B$4:$B$50,0))*$Q11,"")</f>
        <v>2.7</v>
      </c>
      <c r="Q11" s="148">
        <f>IFERROR(SUMIFS('Employee Profile (2)'!L$4:L$50,'Employee Profile (2)'!$B$4:$B$50,Results!$D$3),"")</f>
        <v>2.3076923076923078E-2</v>
      </c>
      <c r="R11" s="150" t="s">
        <v>629</v>
      </c>
      <c r="S11" s="144">
        <f>IFERROR(INDEX('Employee Profile (2)'!$AC$4:$AC$50,MATCH(Results!$D$3,'Employee Profile (2)'!$B$4:$B$50,0))*$T11,"")</f>
        <v>27</v>
      </c>
      <c r="T11" s="147">
        <f>IFERROR(SUMIFS('Employee Profile (2)'!P$4:P$50,'Employee Profile (2)'!$B$4:$B$50,Results!$D$3),"")</f>
        <v>0.23076923076923078</v>
      </c>
      <c r="U11" s="150" t="s">
        <v>53</v>
      </c>
      <c r="V11" s="144">
        <f>IFERROR(INDEX('Employee Profile (2)'!$AC$4:$AC$50,MATCH(Results!$D$3,'Employee Profile (2)'!$B$4:$B$50,0))*$W11,"")</f>
        <v>2.7</v>
      </c>
      <c r="W11" s="147">
        <f>IFERROR(SUMIFS('Employee Profile (2)'!U$4:U$50,'Employee Profile (2)'!$B$4:$B$50,Results!$D$3),"")</f>
        <v>2.3076923076923078E-2</v>
      </c>
      <c r="X11" s="150" t="s">
        <v>637</v>
      </c>
      <c r="Y11" s="144">
        <f>IFERROR(INDEX('Employee Profile (2)'!$AC$4:$AC$50,MATCH(Results!$D$3,'Employee Profile (2)'!$B$4:$B$50,0))*$Z11,"")</f>
        <v>3.6</v>
      </c>
      <c r="Z11" s="147">
        <f>IFERROR(SUMIFS('Employee Profile (2)'!X$4:X$50,'Employee Profile (2)'!$B$4:$B$50,Results!$D$3),"")</f>
        <v>3.0769230769230771E-2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0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2.7</v>
      </c>
      <c r="N12" s="148">
        <f>IFERROR(SUMIFS('Employee Profile (2)'!F$4:F$50,'Employee Profile (2)'!$B$4:$B$50,Results!$D$3),"")</f>
        <v>2.3076923076923078E-2</v>
      </c>
      <c r="O12" s="150" t="s">
        <v>623</v>
      </c>
      <c r="P12" s="143">
        <f>IFERROR(INDEX('Employee Profile (2)'!$AC$4:$AC$50,MATCH(Results!$D$3,'Employee Profile (2)'!$B$4:$B$50,0))*$Q12,"")</f>
        <v>1.8</v>
      </c>
      <c r="Q12" s="148">
        <f>IFERROR(SUMIFS('Employee Profile (2)'!M$4:M$50,'Employee Profile (2)'!$B$4:$B$50,Results!$D$3),"")</f>
        <v>1.5384615384615385E-2</v>
      </c>
      <c r="R12" s="150" t="s">
        <v>630</v>
      </c>
      <c r="S12" s="144">
        <f>IFERROR(INDEX('Employee Profile (2)'!$AC$4:$AC$50,MATCH(Results!$D$3,'Employee Profile (2)'!$B$4:$B$50,0))*$T12,"")</f>
        <v>2.7</v>
      </c>
      <c r="T12" s="147">
        <f>IFERROR(SUMIFS('Employee Profile (2)'!Q$4:Q$50,'Employee Profile (2)'!$B$4:$B$50,Results!$D$3),"")</f>
        <v>2.3076923076923078E-2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4.5</v>
      </c>
      <c r="Z12" s="147">
        <f>IFERROR(SUMIFS('Employee Profile (2)'!Y$4:Y$50,'Employee Profile (2)'!$B$4:$B$50,Results!$D$3),"")</f>
        <v>3.8461538461538464E-2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3.6</v>
      </c>
      <c r="N13" s="148">
        <f>IFERROR(SUMIFS('Employee Profile (2)'!G$4:G$50,'Employee Profile (2)'!$B$4:$B$50,Results!$D$3),"")</f>
        <v>3.0769230769230771E-2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5.4</v>
      </c>
      <c r="T13" s="147">
        <f>IFERROR(SUMIFS('Employee Profile (2)'!R$4:R$50,'Employee Profile (2)'!$B$4:$B$50,Results!$D$3),"")</f>
        <v>4.6153846153846156E-2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2.7</v>
      </c>
      <c r="Z13" s="147">
        <f>IFERROR(SUMIFS('Employee Profile (2)'!Z$4:Z$50,'Employee Profile (2)'!$B$4:$B$50,Results!$D$3),"")</f>
        <v>2.3076923076923078E-2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0.9</v>
      </c>
      <c r="N14" s="148">
        <f>IFERROR(SUMIFS('Employee Profile (2)'!H$4:H$50,'Employee Profile (2)'!$B$4:$B$50,Results!$D$3),"")</f>
        <v>7.6923076923076927E-3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0</v>
      </c>
      <c r="H15" s="112">
        <f t="shared" ref="H15:J15" si="0">SUM(H9:H14)</f>
        <v>0</v>
      </c>
      <c r="I15" s="112">
        <f t="shared" si="0"/>
        <v>0</v>
      </c>
      <c r="J15" s="112">
        <f t="shared" si="0"/>
        <v>0</v>
      </c>
      <c r="L15" s="150" t="s">
        <v>53</v>
      </c>
      <c r="M15" s="143">
        <f>IFERROR(INDEX('Employee Profile (2)'!$AC$4:$AC$50,MATCH(Results!$D$3,'Employee Profile (2)'!$B$4:$B$50,0))*$N15,"")</f>
        <v>2.7</v>
      </c>
      <c r="N15" s="148">
        <f>IFERROR(SUMIFS('Employee Profile (2)'!I$4:I$50,'Employee Profile (2)'!$B$4:$B$50,Results!$D$3),"")</f>
        <v>2.3076923076923078E-2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0</v>
      </c>
      <c r="H16" s="82">
        <f>SUMIFS($W$64:$W$509,$C$64:$C$509,"Total")</f>
        <v>0</v>
      </c>
      <c r="I16" s="82">
        <f>SUMIFS($AE$64:$AE$509,$C$64:$C$509,"Total")</f>
        <v>0</v>
      </c>
      <c r="J16" s="82">
        <f>SUMIFS($AM$64:$AM$509,$C$64:$C$509,"Total")</f>
        <v>0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51</v>
      </c>
      <c r="G29" s="87">
        <f t="shared" ref="G29:G44" si="4">SUMIFS($K$64:$K$509,$A$64:$A$509,B29,$C$64:$C$509,"Total")</f>
        <v>505.13823529411764</v>
      </c>
      <c r="H29" s="83">
        <f t="shared" ref="H29:H44" si="5">SUMIFS($J$64:$J$509,$A$64:$A$509,B29,$C$64:$C$509,"Total")</f>
        <v>25762.05</v>
      </c>
      <c r="I29" s="21">
        <f t="shared" ref="I29:I44" si="6">-SUMIFS($O$64:$O$509,$A$64:$A$509,$B29,$C$64:$C$509,"Total")+SUMIFS($N$64:$N$509,$A$64:$A$509,$B29,$C$64:$C$509,"Total")</f>
        <v>16</v>
      </c>
      <c r="J29" s="88">
        <f t="shared" ref="J29:J44" si="7">SUMIFS($P$64:$P$509,$A$64:$A$509,$B29,$C$64:$C$509,"Total")</f>
        <v>67</v>
      </c>
      <c r="K29" s="88">
        <f t="shared" ref="K29:K44" si="8">SUMIFS($M$64:$M$509,$A$64:$A$509,$B29,$C$64:$C$509,"Total")</f>
        <v>499.70278503066362</v>
      </c>
      <c r="L29" s="88">
        <f t="shared" ref="L29:L44" si="9">SUMIFS($R$64:$R$509,$A$64:$A$509,$B29,$C$64:$C$509,"Total")+SUMIFS($Q$64:$Q$509,$A$64:$A$509,$B29,$C$64:$C$509,"Total")</f>
        <v>6107.3736498619455</v>
      </c>
      <c r="M29" s="88">
        <f t="shared" ref="M29:M44" si="10">SUMIFS($S$64:$S$509,$A$64:$A$509,$B29,$C$64:$C$509,"Total")</f>
        <v>33480.086597054462</v>
      </c>
      <c r="N29" s="88">
        <f t="shared" ref="N29:N44" si="11">SUMIFS($S$64:$S$509,$A$64:$A$509,$B29,$C$64:$C$509,"Compensation Budget")</f>
        <v>33332</v>
      </c>
      <c r="O29" s="89">
        <f t="shared" ref="O29:O44" si="12">SUMIFS($S$64:$S$509,$A$64:$A$509,$B29,$C$64:$C$509,"Under/(Over)")</f>
        <v>-148.08659705446189</v>
      </c>
      <c r="P29" s="21">
        <f t="shared" ref="P29:P44" si="13">-SUMIFS($W$64:$W$509,$A$64:$A$509,$B29,$C$64:$C$509,"Total")+SUMIFS($V$64:$V$509,$A$64:$A$509,$B29,$C$64:$C$509,"Total")</f>
        <v>0</v>
      </c>
      <c r="Q29" s="88">
        <f t="shared" ref="Q29:Q44" si="14">SUMIFS($X$64:$X$509,$A$64:$A$509,$B29,$C$64:$C$509,"Total")</f>
        <v>67</v>
      </c>
      <c r="R29" s="88">
        <f t="shared" ref="R29:R44" si="15">SUMIFS($U$64:$U$509,$A$64:$A$509,$B29,$C$64:$C$509,"Total")</f>
        <v>540.47668728142753</v>
      </c>
      <c r="S29" s="88">
        <f t="shared" ref="S29:S44" si="16">SUMIFS($Z$64:$Z$509,$A$64:$A$509,$B29,$C$64:$C$509,"Total")+SUMIFS($Y$64:$Y$509,$A$64:$A$509,$B29,$C$64:$C$509,"Total")</f>
        <v>0</v>
      </c>
      <c r="T29" s="88">
        <f t="shared" ref="T29:T44" si="17">SUMIFS($AA$64:$AA$509,$A$64:$A$509,$B29,$C$64:$C$509,"Total")</f>
        <v>36211.938047855641</v>
      </c>
      <c r="U29" s="88">
        <f t="shared" ref="U29:U44" si="18">SUMIFS($AA$64:$AA$509,$A$64:$A$509,$B29,$C$64:$C$509,"Compensation Budget")</f>
        <v>37678</v>
      </c>
      <c r="V29" s="89">
        <f t="shared" ref="V29:V44" si="19">SUMIFS($AA$64:$AA$509,$A$64:$A$509,$B29,$C$64:$C$509,"Under/(Over)")</f>
        <v>1466.0619521443587</v>
      </c>
      <c r="W29" s="21">
        <f t="shared" ref="W29:W44" si="20">-SUMIFS($AE$64:$AE$509,$A$64:$A$509,$B29,$C$64:$C$509,"Total")+SUMIFS($AD$64:$AD$509,$A$64:$A$509,$B29,$C$64:$C$509,"Total")</f>
        <v>0</v>
      </c>
      <c r="X29" s="88">
        <f t="shared" ref="X29:X44" si="21">SUMIFS($AF$64:$AF$509,$A$64:$A$509,$B29,$C$64:$C$509,"Total")</f>
        <v>67</v>
      </c>
      <c r="Y29" s="88">
        <f t="shared" ref="Y29:Y44" si="22">SUMIFS($AC$64:$AC$509,$A$64:$A$509,$B29,$C$64:$C$509,"Total")</f>
        <v>584.03994545407124</v>
      </c>
      <c r="Z29" s="88">
        <f t="shared" ref="Z29:Z44" si="23">SUMIFS($AH$64:$AH$509,$A$64:$A$509,$B29,$C$64:$C$509,"Total")+SUMIFS($AG$64:$AG$509,$A$64:$A$509,$B29,$C$64:$C$509,"Total")</f>
        <v>0</v>
      </c>
      <c r="AA29" s="88">
        <f t="shared" ref="AA29:AA44" si="24">SUMIFS($AI$64:$AI$509,$A$64:$A$509,$B29,$C$64:$C$509,"Total")</f>
        <v>39130.676345422777</v>
      </c>
      <c r="AB29" s="88">
        <f t="shared" ref="AB29:AB44" si="25">SUMIFS($AI$64:$AI$509,$A$64:$A$509,$B29,$C$64:$C$509,"Compensation Budget")</f>
        <v>41344</v>
      </c>
      <c r="AC29" s="89">
        <f t="shared" ref="AC29:AC44" si="26">SUMIFS($AI$64:$AI$509,$A$64:$A$509,$B29,$C$64:$C$509,"Under/(Over)")</f>
        <v>2213.3236545772234</v>
      </c>
      <c r="AD29" s="21">
        <f t="shared" ref="AD29:AD44" si="27">-SUMIFS($AM$64:$AM$509,$A$64:$A$509,$B29,$C$64:$C$509,"Total")+SUMIFS($AL$64:$AL$509,$A$64:$A$509,$B29,$C$64:$C$509,"Total")</f>
        <v>0</v>
      </c>
      <c r="AE29" s="88">
        <f t="shared" ref="AE29:AE44" si="28">SUMIFS($AN$64:$AN$509,$A$64:$A$509,$B29,$C$64:$C$509,"Total")</f>
        <v>67</v>
      </c>
      <c r="AF29" s="88">
        <f t="shared" ref="AF29:AF44" si="29">SUMIFS($AK$64:$AK$509,$A$64:$A$509,$B29,$C$64:$C$509,"Total")</f>
        <v>629.94111975113969</v>
      </c>
      <c r="AG29" s="88">
        <f t="shared" ref="AG29:AG44" si="30">SUMIFS($AP$64:$AP$509,$A$64:$A$509,$B29,$C$64:$C$509,"Total")+SUMIFS($AO$64:$AO$509,$A$64:$A$509,$B29,$C$64:$C$509,"Total")</f>
        <v>0</v>
      </c>
      <c r="AH29" s="88">
        <f t="shared" ref="AH29:AH44" si="31">SUMIFS($AQ$64:$AQ$509,$A$64:$A$509,$B29,$C$64:$C$509,"Total")</f>
        <v>42206.055023326357</v>
      </c>
      <c r="AI29" s="88">
        <f t="shared" ref="AI29:AI44" si="32">SUMIFS($AQ$64:$AQ$509,$A$64:$A$509,$B29,$C$64:$C$509,"Compensation Budget")</f>
        <v>44486.144</v>
      </c>
      <c r="AJ29" s="89">
        <f t="shared" ref="AJ29:AJ44" si="33">SUMIFS($AQ$64:$AQ$509,$A$64:$A$509,$B29,$C$64:$C$509,"Under/(Over)")</f>
        <v>2280.0889766736436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Intersectoral Coordination and Strategic Partnerships</v>
      </c>
      <c r="D30" s="222">
        <f t="shared" si="2"/>
        <v>0</v>
      </c>
      <c r="E30" s="223">
        <f t="shared" si="2"/>
        <v>0</v>
      </c>
      <c r="F30" s="80">
        <f t="shared" si="3"/>
        <v>20</v>
      </c>
      <c r="G30" s="155">
        <f t="shared" si="4"/>
        <v>669.0947165</v>
      </c>
      <c r="H30" s="155">
        <f t="shared" si="5"/>
        <v>13381.894329999999</v>
      </c>
      <c r="I30" s="23">
        <f t="shared" si="6"/>
        <v>1</v>
      </c>
      <c r="J30" s="22">
        <f t="shared" si="7"/>
        <v>21</v>
      </c>
      <c r="K30" s="22">
        <f t="shared" si="8"/>
        <v>721.00644680366327</v>
      </c>
      <c r="L30" s="22">
        <f t="shared" si="9"/>
        <v>792.91932803145619</v>
      </c>
      <c r="M30" s="22">
        <f t="shared" si="10"/>
        <v>15141.135382876928</v>
      </c>
      <c r="N30" s="22">
        <f t="shared" si="11"/>
        <v>15402</v>
      </c>
      <c r="O30" s="91">
        <f t="shared" si="12"/>
        <v>260.86461712307209</v>
      </c>
      <c r="P30" s="23">
        <f t="shared" si="13"/>
        <v>0</v>
      </c>
      <c r="Q30" s="22">
        <f t="shared" si="14"/>
        <v>21</v>
      </c>
      <c r="R30" s="22">
        <f t="shared" si="15"/>
        <v>779.78992181460217</v>
      </c>
      <c r="S30" s="22">
        <f t="shared" si="16"/>
        <v>0</v>
      </c>
      <c r="T30" s="22">
        <f t="shared" si="17"/>
        <v>16375.588358106645</v>
      </c>
      <c r="U30" s="22">
        <f t="shared" si="18"/>
        <v>17410</v>
      </c>
      <c r="V30" s="91">
        <f t="shared" si="19"/>
        <v>1034.4116418933554</v>
      </c>
      <c r="W30" s="23">
        <f t="shared" si="20"/>
        <v>0</v>
      </c>
      <c r="X30" s="22">
        <f t="shared" si="21"/>
        <v>21</v>
      </c>
      <c r="Y30" s="22">
        <f t="shared" si="22"/>
        <v>842.59292632514132</v>
      </c>
      <c r="Z30" s="22">
        <f t="shared" si="23"/>
        <v>0</v>
      </c>
      <c r="AA30" s="22">
        <f t="shared" si="24"/>
        <v>17694.451452827969</v>
      </c>
      <c r="AB30" s="22">
        <f t="shared" si="25"/>
        <v>19103</v>
      </c>
      <c r="AC30" s="91">
        <f t="shared" si="26"/>
        <v>1408.5485471720312</v>
      </c>
      <c r="AD30" s="23">
        <f t="shared" si="27"/>
        <v>0</v>
      </c>
      <c r="AE30" s="22">
        <f t="shared" si="28"/>
        <v>21</v>
      </c>
      <c r="AF30" s="22">
        <f t="shared" si="29"/>
        <v>908.76386586639342</v>
      </c>
      <c r="AG30" s="22">
        <f t="shared" si="30"/>
        <v>0</v>
      </c>
      <c r="AH30" s="22">
        <f t="shared" si="31"/>
        <v>19084.041183194262</v>
      </c>
      <c r="AI30" s="22">
        <f t="shared" si="32"/>
        <v>20554.828000000001</v>
      </c>
      <c r="AJ30" s="91">
        <f t="shared" si="33"/>
        <v>1470.7868168057394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Legislation and Policy Development</v>
      </c>
      <c r="D31" s="222">
        <f t="shared" si="2"/>
        <v>0</v>
      </c>
      <c r="E31" s="223">
        <f t="shared" si="2"/>
        <v>0</v>
      </c>
      <c r="F31" s="80">
        <f t="shared" si="3"/>
        <v>20</v>
      </c>
      <c r="G31" s="155">
        <f t="shared" si="4"/>
        <v>600.54999999999995</v>
      </c>
      <c r="H31" s="155">
        <f t="shared" si="5"/>
        <v>12011</v>
      </c>
      <c r="I31" s="23">
        <f t="shared" si="6"/>
        <v>5</v>
      </c>
      <c r="J31" s="22">
        <f t="shared" si="7"/>
        <v>25</v>
      </c>
      <c r="K31" s="22">
        <f t="shared" si="8"/>
        <v>653.09112537803503</v>
      </c>
      <c r="L31" s="22">
        <f t="shared" si="9"/>
        <v>3474.8250248398426</v>
      </c>
      <c r="M31" s="22">
        <f t="shared" si="10"/>
        <v>16327.278134450877</v>
      </c>
      <c r="N31" s="22">
        <f t="shared" si="11"/>
        <v>16355</v>
      </c>
      <c r="O31" s="91">
        <f t="shared" si="12"/>
        <v>27.721865549123322</v>
      </c>
      <c r="P31" s="23">
        <f t="shared" si="13"/>
        <v>0</v>
      </c>
      <c r="Q31" s="22">
        <f t="shared" si="14"/>
        <v>25</v>
      </c>
      <c r="R31" s="22">
        <f t="shared" si="15"/>
        <v>706.16921499600085</v>
      </c>
      <c r="S31" s="22">
        <f t="shared" si="16"/>
        <v>0</v>
      </c>
      <c r="T31" s="22">
        <f t="shared" si="17"/>
        <v>17654.23037490002</v>
      </c>
      <c r="U31" s="22">
        <f t="shared" si="18"/>
        <v>18488</v>
      </c>
      <c r="V31" s="91">
        <f t="shared" si="19"/>
        <v>833.76962509997975</v>
      </c>
      <c r="W31" s="23">
        <f t="shared" si="20"/>
        <v>0</v>
      </c>
      <c r="X31" s="22">
        <f t="shared" si="21"/>
        <v>25</v>
      </c>
      <c r="Y31" s="22">
        <f t="shared" si="22"/>
        <v>762.85951087449587</v>
      </c>
      <c r="Z31" s="22">
        <f t="shared" si="23"/>
        <v>0</v>
      </c>
      <c r="AA31" s="22">
        <f t="shared" si="24"/>
        <v>19071.487771862397</v>
      </c>
      <c r="AB31" s="22">
        <f t="shared" si="25"/>
        <v>20285</v>
      </c>
      <c r="AC31" s="91">
        <f t="shared" si="26"/>
        <v>1213.5122281376025</v>
      </c>
      <c r="AD31" s="23">
        <f t="shared" si="27"/>
        <v>0</v>
      </c>
      <c r="AE31" s="22">
        <f t="shared" si="28"/>
        <v>25</v>
      </c>
      <c r="AF31" s="22">
        <f t="shared" si="29"/>
        <v>822.56903680471714</v>
      </c>
      <c r="AG31" s="22">
        <f t="shared" si="30"/>
        <v>0</v>
      </c>
      <c r="AH31" s="22">
        <f t="shared" si="31"/>
        <v>20564.225920117929</v>
      </c>
      <c r="AI31" s="22">
        <f t="shared" si="32"/>
        <v>21826.66</v>
      </c>
      <c r="AJ31" s="91">
        <f t="shared" si="33"/>
        <v>1262.4340798820704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Civilian Oversight, Monitoring and Evaluations</v>
      </c>
      <c r="D32" s="222">
        <f t="shared" si="2"/>
        <v>0</v>
      </c>
      <c r="E32" s="223">
        <f t="shared" si="2"/>
        <v>0</v>
      </c>
      <c r="F32" s="80">
        <f t="shared" si="3"/>
        <v>19</v>
      </c>
      <c r="G32" s="155">
        <f t="shared" si="4"/>
        <v>554.9164826315789</v>
      </c>
      <c r="H32" s="155">
        <f t="shared" si="5"/>
        <v>10543.41317</v>
      </c>
      <c r="I32" s="23">
        <f t="shared" si="6"/>
        <v>6</v>
      </c>
      <c r="J32" s="22">
        <f t="shared" si="7"/>
        <v>25</v>
      </c>
      <c r="K32" s="22">
        <f t="shared" si="8"/>
        <v>536.20891218088718</v>
      </c>
      <c r="L32" s="22">
        <f t="shared" si="9"/>
        <v>2056.169645974418</v>
      </c>
      <c r="M32" s="22">
        <f t="shared" si="10"/>
        <v>13405.222804522178</v>
      </c>
      <c r="N32" s="22">
        <f t="shared" si="11"/>
        <v>14355</v>
      </c>
      <c r="O32" s="91">
        <f t="shared" si="12"/>
        <v>949.77719547782181</v>
      </c>
      <c r="P32" s="23">
        <f t="shared" si="13"/>
        <v>0</v>
      </c>
      <c r="Q32" s="22">
        <f t="shared" si="14"/>
        <v>25</v>
      </c>
      <c r="R32" s="22">
        <f t="shared" si="15"/>
        <v>580.92823317547754</v>
      </c>
      <c r="S32" s="22">
        <f t="shared" si="16"/>
        <v>0</v>
      </c>
      <c r="T32" s="22">
        <f t="shared" si="17"/>
        <v>14523.20582938694</v>
      </c>
      <c r="U32" s="22">
        <f t="shared" si="18"/>
        <v>16227</v>
      </c>
      <c r="V32" s="91">
        <f t="shared" si="19"/>
        <v>1703.7941706130605</v>
      </c>
      <c r="W32" s="23">
        <f t="shared" si="20"/>
        <v>0</v>
      </c>
      <c r="X32" s="22">
        <f t="shared" si="21"/>
        <v>25</v>
      </c>
      <c r="Y32" s="22">
        <f t="shared" si="22"/>
        <v>628.7961098667912</v>
      </c>
      <c r="Z32" s="22">
        <f t="shared" si="23"/>
        <v>0</v>
      </c>
      <c r="AA32" s="22">
        <f t="shared" si="24"/>
        <v>15719.902746669781</v>
      </c>
      <c r="AB32" s="22">
        <f t="shared" si="25"/>
        <v>17804</v>
      </c>
      <c r="AC32" s="91">
        <f t="shared" si="26"/>
        <v>2084.0972533302192</v>
      </c>
      <c r="AD32" s="23">
        <f t="shared" si="27"/>
        <v>0</v>
      </c>
      <c r="AE32" s="22">
        <f t="shared" si="28"/>
        <v>25</v>
      </c>
      <c r="AF32" s="22">
        <f t="shared" si="29"/>
        <v>679.34154379100278</v>
      </c>
      <c r="AG32" s="22">
        <f t="shared" si="30"/>
        <v>0</v>
      </c>
      <c r="AH32" s="22">
        <f t="shared" si="31"/>
        <v>16983.538594775069</v>
      </c>
      <c r="AI32" s="22">
        <f t="shared" si="32"/>
        <v>19157.104000000003</v>
      </c>
      <c r="AJ32" s="91">
        <f t="shared" si="33"/>
        <v>2173.5654052249338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/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0</v>
      </c>
      <c r="O33" s="91">
        <f t="shared" si="12"/>
        <v>0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0</v>
      </c>
      <c r="V33" s="91">
        <f t="shared" si="19"/>
        <v>0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0</v>
      </c>
      <c r="AC33" s="91">
        <f t="shared" si="26"/>
        <v>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0</v>
      </c>
      <c r="AJ33" s="91">
        <f t="shared" si="33"/>
        <v>0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110</v>
      </c>
      <c r="G45" s="92">
        <f>IFERROR(H45/F45,0)</f>
        <v>560.89415909090906</v>
      </c>
      <c r="H45" s="92">
        <f>SUM(H29:H38)</f>
        <v>61698.357499999998</v>
      </c>
      <c r="I45" s="25">
        <f>SUM(I29:I38)</f>
        <v>28</v>
      </c>
      <c r="J45" s="92">
        <f>SUM(J29:J38)</f>
        <v>138</v>
      </c>
      <c r="K45" s="92">
        <f>IFERROR(M45/J45,0)</f>
        <v>567.78060086162645</v>
      </c>
      <c r="L45" s="92">
        <f t="shared" ref="L45:Q45" si="34">SUM(L29:L38)</f>
        <v>12431.287648707663</v>
      </c>
      <c r="M45" s="92">
        <f t="shared" si="34"/>
        <v>78353.722918904445</v>
      </c>
      <c r="N45" s="92">
        <f>INDEX('ENE17'!$C$2:$C$48,MATCH(Results!$D$3,'ENE17'!$A$2:$A$48,0))</f>
        <v>79444</v>
      </c>
      <c r="O45" s="129">
        <f>N45-M45</f>
        <v>1090.2770810955553</v>
      </c>
      <c r="P45" s="25">
        <f t="shared" si="34"/>
        <v>0</v>
      </c>
      <c r="Q45" s="24">
        <f t="shared" si="34"/>
        <v>138</v>
      </c>
      <c r="R45" s="92">
        <f>IFERROR(T45/Q45,0)</f>
        <v>614.23885949455973</v>
      </c>
      <c r="S45" s="24">
        <f>SUM(S29:S38)</f>
        <v>0</v>
      </c>
      <c r="T45" s="24">
        <f>SUM(T29:T38)</f>
        <v>84764.962610249248</v>
      </c>
      <c r="U45" s="207">
        <f>INDEX('ENE17'!$D$2:$D$48,MATCH(Results!$D$3,'ENE17'!$A$2:$A$48,0))</f>
        <v>88815</v>
      </c>
      <c r="V45" s="24">
        <f>U45-T45</f>
        <v>4050.0373897507525</v>
      </c>
      <c r="W45" s="25">
        <f t="shared" ref="W45:X45" si="35">SUM(W29:W38)</f>
        <v>0</v>
      </c>
      <c r="X45" s="24">
        <f t="shared" si="35"/>
        <v>138</v>
      </c>
      <c r="Y45" s="92">
        <f>IFERROR(AA45/X45,0)</f>
        <v>663.88781388973132</v>
      </c>
      <c r="Z45" s="24">
        <f t="shared" ref="Z45:AA45" si="36">SUM(Z29:Z38)</f>
        <v>0</v>
      </c>
      <c r="AA45" s="24">
        <f t="shared" si="36"/>
        <v>91616.518316782924</v>
      </c>
      <c r="AB45" s="207">
        <f>INDEX('ENE17'!$E$2:$E$48,MATCH(Results!$D$3,'ENE17'!$A$2:$A$48,0))</f>
        <v>97452</v>
      </c>
      <c r="AC45" s="24">
        <f>AB45-AA45</f>
        <v>5835.4816832170764</v>
      </c>
      <c r="AD45" s="25">
        <f t="shared" ref="AD45:AE45" si="37">SUM(AD29:AD38)</f>
        <v>0</v>
      </c>
      <c r="AE45" s="24">
        <f t="shared" si="37"/>
        <v>138</v>
      </c>
      <c r="AF45" s="92">
        <f>IFERROR(AH45/AE45,0)</f>
        <v>716.21638203922919</v>
      </c>
      <c r="AG45" s="24">
        <f t="shared" ref="AG45:AH45" si="38">SUM(AG29:AG38)</f>
        <v>0</v>
      </c>
      <c r="AH45" s="24">
        <f t="shared" si="38"/>
        <v>98837.860721413628</v>
      </c>
      <c r="AI45" s="207">
        <f>INDEX('ENE17'!$F$2:$F$48,MATCH(Results!$D$3,'ENE17'!$A$2:$A$48,0))</f>
        <v>104859</v>
      </c>
      <c r="AJ45" s="24">
        <f>AI45-AH45</f>
        <v>6021.1392785863718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24</v>
      </c>
      <c r="G51" s="193">
        <f>IFERROR(H51/F51,"")</f>
        <v>186.08541666666667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4466.05</v>
      </c>
      <c r="I51" s="97">
        <f>SUMIFS($N$64:$N$509,$B$64:$B$509,$B51)-SUMIFS($O$64:$O$509,$B$64:$B$509,$B51)</f>
        <v>9</v>
      </c>
      <c r="J51" s="80">
        <f>SUMIFS($P$64:$P$509,$B$64:$B$509,$B51)</f>
        <v>33</v>
      </c>
      <c r="K51" s="80">
        <f>IFERROR(M51/J51,0)</f>
        <v>184.83366836566299</v>
      </c>
      <c r="L51" s="80">
        <f>SUMIFS($R$64:$R$509,$B$64:$B$509,$B51)+SUMIFS($Q$64:$Q$509,$B$64:$B$509,$B51)</f>
        <v>1516.1888675301864</v>
      </c>
      <c r="M51" s="98">
        <f>SUMIFS($S$64:$S$509,$B$64:$B$509,$B51)</f>
        <v>6099.5110560668782</v>
      </c>
      <c r="N51" s="80">
        <f>SUMIFS($V$64:$V$509,$B$64:$B$509,$B51)-SUMIFS($W$64:$W$509,$B$64:$B$509,$B51)</f>
        <v>0</v>
      </c>
      <c r="O51" s="80">
        <f>SUMIFS($X$64:$X$509,$B$64:$B$509,$B51)</f>
        <v>33</v>
      </c>
      <c r="P51" s="80">
        <f>IFERROR(R51/O51,0)</f>
        <v>200.45375174429213</v>
      </c>
      <c r="Q51" s="80">
        <f>SUMIFS($Z$64:$Z$509,$B$64:$B$509,$B51)+SUMIFS($Y$64:$Y$509,$B$64:$B$509,$B51)</f>
        <v>0</v>
      </c>
      <c r="R51" s="80">
        <f>SUMIFS($AA$64:$AA$509,$B$64:$B$509,$B51)</f>
        <v>6614.9738075616406</v>
      </c>
      <c r="S51" s="97">
        <f>SUMIFS($AD$64:$AD$509,$B$64:$B$509,$B51)-SUMIFS($AE$64:$AE$509,$B$64:$B$509,$B51)</f>
        <v>0</v>
      </c>
      <c r="T51" s="80">
        <f>SUMIFS($AF$64:$AF$509,$B$64:$B$509,$B51)</f>
        <v>33</v>
      </c>
      <c r="U51" s="80">
        <f>IFERROR(W51/T51,0)</f>
        <v>217.19086202848683</v>
      </c>
      <c r="V51" s="80">
        <f>SUMIFS($AH$64:$AH$509,$B$64:$B$509,$B51)+SUMIFS($AG$64:$AG$509,$B$64:$B$509,$B51)</f>
        <v>0</v>
      </c>
      <c r="W51" s="98">
        <f>SUMIFS($AI$64:$AI$509,$B$64:$B$509,$B51)</f>
        <v>7167.2984469400653</v>
      </c>
      <c r="X51" s="80">
        <f>SUMIFS($AL$64:$AL$509,$B$64:$B$509,$B51)-SUMIFS($AM$64:$AM$509,$B$64:$B$509,$B51)</f>
        <v>0</v>
      </c>
      <c r="Y51" s="80">
        <f>SUMIFS($AN$64:$AN$509,$B$64:$B$509,$B51)</f>
        <v>33</v>
      </c>
      <c r="Z51" s="80">
        <f>IFERROR(AB51/Y51,0)</f>
        <v>234.88548366573045</v>
      </c>
      <c r="AA51" s="80">
        <f>SUMIFS($AP$64:$AP$509,$B$64:$B$509,$B51)+SUMIFS($AO$64:$AO$509,$B$64:$B$509,$B51)</f>
        <v>0</v>
      </c>
      <c r="AB51" s="98">
        <f>SUMIFS($AQ$64:$AQ$509,$B$64:$B$509,$B51)</f>
        <v>7751.2209609691045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40</v>
      </c>
      <c r="G52" s="192">
        <f t="shared" ref="G52:G55" si="40">IFERROR(H52/F52,"")</f>
        <v>456.95768749999996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18278.307499999999</v>
      </c>
      <c r="I52" s="97">
        <f>SUMIFS($N$64:$N$509,$B$64:$B$509,$B52)-SUMIFS($O$64:$O$509,$B$64:$B$509,$B52)</f>
        <v>11</v>
      </c>
      <c r="J52" s="80">
        <f>SUMIFS($P$64:$P$509,$B$64:$B$509,$B52)</f>
        <v>51</v>
      </c>
      <c r="K52" s="80">
        <f t="shared" ref="K52:K56" si="41">IFERROR(M52/J52,0)</f>
        <v>482.36454701262141</v>
      </c>
      <c r="L52" s="80">
        <f>SUMIFS($R$64:$R$509,$B$64:$B$509,$B52)+SUMIFS($Q$64:$Q$509,$B$64:$B$509,$B52)</f>
        <v>4726.6531220903944</v>
      </c>
      <c r="M52" s="98">
        <f>SUMIFS($S$64:$S$509,$B$64:$B$509,$B52)</f>
        <v>24600.591897643691</v>
      </c>
      <c r="N52" s="80">
        <f>SUMIFS($V$64:$V$509,$B$64:$B$509,$B52)-SUMIFS($W$64:$W$509,$B$64:$B$509,$B52)</f>
        <v>0</v>
      </c>
      <c r="O52" s="80">
        <f>SUMIFS($X$64:$X$509,$B$64:$B$509,$B52)</f>
        <v>51</v>
      </c>
      <c r="P52" s="80">
        <f t="shared" ref="P52:P55" si="42">IFERROR(R52/O52,0)</f>
        <v>523.4902652362365</v>
      </c>
      <c r="Q52" s="80">
        <f>SUMIFS($Z$64:$Z$509,$B$64:$B$509,$B52)+SUMIFS($Y$64:$Y$509,$B$64:$B$509,$B52)</f>
        <v>0</v>
      </c>
      <c r="R52" s="80">
        <f>SUMIFS($AA$64:$AA$509,$B$64:$B$509,$B52)</f>
        <v>26698.003527048062</v>
      </c>
      <c r="S52" s="97">
        <f>SUMIFS($AD$64:$AD$509,$B$64:$B$509,$B52)-SUMIFS($AE$64:$AE$509,$B$64:$B$509,$B52)</f>
        <v>0</v>
      </c>
      <c r="T52" s="80">
        <f>SUMIFS($AF$64:$AF$509,$B$64:$B$509,$B52)</f>
        <v>51</v>
      </c>
      <c r="U52" s="80">
        <f t="shared" ref="U52:U55" si="43">IFERROR(W52/T52,0)</f>
        <v>567.5915837977343</v>
      </c>
      <c r="V52" s="80">
        <f>SUMIFS($AH$64:$AH$509,$B$64:$B$509,$B52)+SUMIFS($AG$64:$AG$509,$B$64:$B$509,$B52)</f>
        <v>0</v>
      </c>
      <c r="W52" s="98">
        <f>SUMIFS($AI$64:$AI$509,$B$64:$B$509,$B52)</f>
        <v>28947.170773684447</v>
      </c>
      <c r="X52" s="80">
        <f>SUMIFS($AL$64:$AL$509,$B$64:$B$509,$B52)-SUMIFS($AM$64:$AM$509,$B$64:$B$509,$B52)</f>
        <v>0</v>
      </c>
      <c r="Y52" s="80">
        <f>SUMIFS($AN$64:$AN$509,$B$64:$B$509,$B52)</f>
        <v>51</v>
      </c>
      <c r="Z52" s="80">
        <f t="shared" ref="Z52:Z55" si="44">IFERROR(AB52/Y52,0)</f>
        <v>614.25731670810853</v>
      </c>
      <c r="AA52" s="80">
        <f>SUMIFS($AP$64:$AP$509,$B$64:$B$509,$B52)+SUMIFS($AO$64:$AO$509,$B$64:$B$509,$B52)</f>
        <v>0</v>
      </c>
      <c r="AB52" s="98">
        <f>SUMIFS($AQ$64:$AQ$509,$B$64:$B$509,$B52)</f>
        <v>31327.123152113538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20</v>
      </c>
      <c r="G53" s="192">
        <f t="shared" si="40"/>
        <v>723.3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14466</v>
      </c>
      <c r="I53" s="97">
        <f>SUMIFS($N$64:$N$509,$B$64:$B$509,$B53)-SUMIFS($O$64:$O$509,$B$64:$B$509,$B53)</f>
        <v>4</v>
      </c>
      <c r="J53" s="80">
        <f>SUMIFS($P$64:$P$509,$B$64:$B$509,$B53)</f>
        <v>24</v>
      </c>
      <c r="K53" s="80">
        <f t="shared" si="41"/>
        <v>791.73204706652325</v>
      </c>
      <c r="L53" s="80">
        <f>SUMIFS($R$64:$R$509,$B$64:$B$509,$B53)+SUMIFS($Q$64:$Q$509,$B$64:$B$509,$B53)</f>
        <v>3207.0149607722851</v>
      </c>
      <c r="M53" s="98">
        <f>SUMIFS($S$64:$S$509,$B$64:$B$509,$B53)</f>
        <v>19001.569129596559</v>
      </c>
      <c r="N53" s="80">
        <f>SUMIFS($V$64:$V$509,$B$64:$B$509,$B53)-SUMIFS($W$64:$W$509,$B$64:$B$509,$B53)</f>
        <v>0</v>
      </c>
      <c r="O53" s="80">
        <f>SUMIFS($X$64:$X$509,$B$64:$B$509,$B53)</f>
        <v>24</v>
      </c>
      <c r="P53" s="80">
        <f t="shared" si="42"/>
        <v>859.61473454997304</v>
      </c>
      <c r="Q53" s="80">
        <f>SUMIFS($Z$64:$Z$509,$B$64:$B$509,$B53)+SUMIFS($Y$64:$Y$509,$B$64:$B$509,$B53)</f>
        <v>0</v>
      </c>
      <c r="R53" s="80">
        <f>SUMIFS($AA$64:$AA$509,$B$64:$B$509,$B53)</f>
        <v>20630.753629199353</v>
      </c>
      <c r="S53" s="97">
        <f>SUMIFS($AD$64:$AD$509,$B$64:$B$509,$B53)-SUMIFS($AE$64:$AE$509,$B$64:$B$509,$B53)</f>
        <v>0</v>
      </c>
      <c r="T53" s="80">
        <f>SUMIFS($AF$64:$AF$509,$B$64:$B$509,$B53)</f>
        <v>24</v>
      </c>
      <c r="U53" s="80">
        <f t="shared" si="43"/>
        <v>932.44539745574093</v>
      </c>
      <c r="V53" s="80">
        <f>SUMIFS($AH$64:$AH$509,$B$64:$B$509,$B53)+SUMIFS($AG$64:$AG$509,$B$64:$B$509,$B53)</f>
        <v>0</v>
      </c>
      <c r="W53" s="98">
        <f>SUMIFS($AI$64:$AI$509,$B$64:$B$509,$B53)</f>
        <v>22378.689538937782</v>
      </c>
      <c r="X53" s="80">
        <f>SUMIFS($AL$64:$AL$509,$B$64:$B$509,$B53)-SUMIFS($AM$64:$AM$509,$B$64:$B$509,$B53)</f>
        <v>0</v>
      </c>
      <c r="Y53" s="80">
        <f>SUMIFS($AN$64:$AN$509,$B$64:$B$509,$B53)</f>
        <v>24</v>
      </c>
      <c r="Z53" s="80">
        <f t="shared" si="44"/>
        <v>1009.5543086514632</v>
      </c>
      <c r="AA53" s="80">
        <f>SUMIFS($AP$64:$AP$509,$B$64:$B$509,$B53)+SUMIFS($AO$64:$AO$509,$B$64:$B$509,$B53)</f>
        <v>0</v>
      </c>
      <c r="AB53" s="98">
        <f>SUMIFS($AQ$64:$AQ$509,$B$64:$B$509,$B53)</f>
        <v>24229.303407635118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26</v>
      </c>
      <c r="G54" s="192">
        <f t="shared" si="40"/>
        <v>941.84615384615381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24488</v>
      </c>
      <c r="I54" s="97">
        <f>SUMIFS($N$64:$N$509,$B$64:$B$509,$B54)-SUMIFS($O$64:$O$509,$B$64:$B$509,$B54)</f>
        <v>4</v>
      </c>
      <c r="J54" s="80">
        <f>SUMIFS($P$64:$P$509,$B$64:$B$509,$B54)</f>
        <v>30</v>
      </c>
      <c r="K54" s="80">
        <f t="shared" si="41"/>
        <v>955.06836118657691</v>
      </c>
      <c r="L54" s="80">
        <f>SUMIFS($R$64:$R$509,$B$64:$B$509,$B54)+SUMIFS($Q$64:$Q$509,$B$64:$B$509,$B54)</f>
        <v>2981.4306983147962</v>
      </c>
      <c r="M54" s="98">
        <f>SUMIFS($S$64:$S$509,$B$64:$B$509,$B54)</f>
        <v>28652.050835597307</v>
      </c>
      <c r="N54" s="80">
        <f>SUMIFS($V$64:$V$509,$B$64:$B$509,$B54)-SUMIFS($W$64:$W$509,$B$64:$B$509,$B54)</f>
        <v>0</v>
      </c>
      <c r="O54" s="80">
        <f>SUMIFS($X$64:$X$509,$B$64:$B$509,$B54)</f>
        <v>30</v>
      </c>
      <c r="P54" s="80">
        <f t="shared" si="42"/>
        <v>1027.3743882146732</v>
      </c>
      <c r="Q54" s="80">
        <f>SUMIFS($Z$64:$Z$509,$B$64:$B$509,$B54)+SUMIFS($Y$64:$Y$509,$B$64:$B$509,$B54)</f>
        <v>0</v>
      </c>
      <c r="R54" s="80">
        <f>SUMIFS($AA$64:$AA$509,$B$64:$B$509,$B54)</f>
        <v>30821.231646440196</v>
      </c>
      <c r="S54" s="97">
        <f>SUMIFS($AD$64:$AD$509,$B$64:$B$509,$B54)-SUMIFS($AE$64:$AE$509,$B$64:$B$509,$B54)</f>
        <v>0</v>
      </c>
      <c r="T54" s="80">
        <f>SUMIFS($AF$64:$AF$509,$B$64:$B$509,$B54)</f>
        <v>30</v>
      </c>
      <c r="U54" s="80">
        <f t="shared" si="43"/>
        <v>1104.1119852406875</v>
      </c>
      <c r="V54" s="80">
        <f>SUMIFS($AH$64:$AH$509,$B$64:$B$509,$B54)+SUMIFS($AG$64:$AG$509,$B$64:$B$509,$B54)</f>
        <v>0</v>
      </c>
      <c r="W54" s="98">
        <f>SUMIFS($AI$64:$AI$509,$B$64:$B$509,$B54)</f>
        <v>33123.359557220625</v>
      </c>
      <c r="X54" s="80">
        <f>SUMIFS($AL$64:$AL$509,$B$64:$B$509,$B54)-SUMIFS($AM$64:$AM$509,$B$64:$B$509,$B54)</f>
        <v>0</v>
      </c>
      <c r="Y54" s="80">
        <f>SUMIFS($AN$64:$AN$509,$B$64:$B$509,$B54)</f>
        <v>30</v>
      </c>
      <c r="Z54" s="80">
        <f t="shared" si="44"/>
        <v>1184.340440023195</v>
      </c>
      <c r="AA54" s="80">
        <f>SUMIFS($AP$64:$AP$509,$B$64:$B$509,$B54)+SUMIFS($AO$64:$AO$509,$B$64:$B$509,$B54)</f>
        <v>0</v>
      </c>
      <c r="AB54" s="98">
        <f>SUMIFS($AQ$64:$AQ$509,$B$64:$B$509,$B54)</f>
        <v>35530.213200695849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110</v>
      </c>
      <c r="G56" s="92">
        <f t="shared" ref="G56" si="45">IFERROR(H56/F56,0)</f>
        <v>560.89415909090906</v>
      </c>
      <c r="H56" s="92">
        <f>SUM(H51:H55)</f>
        <v>61698.357499999998</v>
      </c>
      <c r="I56" s="92">
        <f>SUM(I51:I55)</f>
        <v>28</v>
      </c>
      <c r="J56" s="92">
        <f>SUM(J51:J55)</f>
        <v>138</v>
      </c>
      <c r="K56" s="92">
        <f t="shared" si="41"/>
        <v>567.78060086162645</v>
      </c>
      <c r="L56" s="92">
        <f>SUM(L51:L55)</f>
        <v>12431.287648707663</v>
      </c>
      <c r="M56" s="92">
        <f>SUM(M51:M55)</f>
        <v>78353.722918904445</v>
      </c>
      <c r="N56" s="92">
        <f t="shared" ref="N56:O56" si="46">SUM(N51:N55)</f>
        <v>0</v>
      </c>
      <c r="O56" s="92">
        <f t="shared" si="46"/>
        <v>138</v>
      </c>
      <c r="P56" s="92">
        <f>IFERROR(R56/O56,0)</f>
        <v>614.23885949455985</v>
      </c>
      <c r="Q56" s="92">
        <f t="shared" ref="Q56" si="47">SUM(Q51:Q55)</f>
        <v>0</v>
      </c>
      <c r="R56" s="92">
        <f t="shared" ref="R56:T56" si="48">SUM(R51:R55)</f>
        <v>84764.962610249262</v>
      </c>
      <c r="S56" s="92">
        <f t="shared" si="48"/>
        <v>0</v>
      </c>
      <c r="T56" s="92">
        <f t="shared" si="48"/>
        <v>138</v>
      </c>
      <c r="U56" s="92">
        <f>IFERROR(W56/T56,0)</f>
        <v>663.88781388973132</v>
      </c>
      <c r="V56" s="92">
        <f t="shared" ref="V56" si="49">SUM(V51:V55)</f>
        <v>0</v>
      </c>
      <c r="W56" s="92">
        <f t="shared" ref="W56:Y56" si="50">SUM(W51:W55)</f>
        <v>91616.518316782924</v>
      </c>
      <c r="X56" s="92">
        <f t="shared" si="50"/>
        <v>0</v>
      </c>
      <c r="Y56" s="92">
        <f t="shared" si="50"/>
        <v>138</v>
      </c>
      <c r="Z56" s="92">
        <f>IFERROR(AB56/Y56,0)</f>
        <v>716.21638203922896</v>
      </c>
      <c r="AA56" s="92">
        <f t="shared" ref="AA56" si="51">SUM(AA51:AA55)</f>
        <v>0</v>
      </c>
      <c r="AB56" s="104">
        <f t="shared" ref="AB56" si="52">SUM(AB51:AB55)</f>
        <v>98837.860721413599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249.05</v>
      </c>
      <c r="H64" s="35">
        <f>IFERROR(G64/F64,0)</f>
        <v>0</v>
      </c>
      <c r="I64" s="156" t="s">
        <v>754</v>
      </c>
      <c r="J64" s="211" t="s">
        <v>754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3</v>
      </c>
      <c r="G65" s="35">
        <f>SUMIFS(WORKING!$AC$3:$AC$6802,WORKING!$A$3:$A$6802,Results!$D$3,WORKING!$B$3:$B$6802,Results!A65,WORKING!$C$3:$C$6802,Results!C65)/1000</f>
        <v>512.43679000000009</v>
      </c>
      <c r="H65" s="35">
        <f t="shared" ref="H65:H80" si="60">IFERROR(G65/F65,0)</f>
        <v>170.81226333333336</v>
      </c>
      <c r="I65" s="187">
        <v>3</v>
      </c>
      <c r="J65" s="212">
        <v>346</v>
      </c>
      <c r="K65" s="217">
        <f t="shared" ref="K65:K80" si="61">IFERROR(IF(J65="",G65,J65)/IF(I65="",F65,I65),"")</f>
        <v>115.33333333333333</v>
      </c>
      <c r="L65" s="34">
        <f t="shared" si="54"/>
        <v>3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125.19934818182111</v>
      </c>
      <c r="N65" s="57">
        <v>1</v>
      </c>
      <c r="O65" s="57">
        <v>0</v>
      </c>
      <c r="P65" s="61">
        <f t="shared" si="55"/>
        <v>4</v>
      </c>
      <c r="Q65" s="40">
        <f t="shared" ref="Q65:Q80" si="62">M65*N65</f>
        <v>125.19934818182111</v>
      </c>
      <c r="R65" s="40">
        <f t="shared" ref="R65:R80" si="63">-M65*O65</f>
        <v>0</v>
      </c>
      <c r="S65" s="44">
        <f t="shared" ref="S65:S80" si="64">M65*P65</f>
        <v>500.79739272728443</v>
      </c>
      <c r="T65" s="35">
        <f t="shared" ref="T65:T80" si="65">P65</f>
        <v>4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135.73663610808052</v>
      </c>
      <c r="V65" s="57">
        <v>0</v>
      </c>
      <c r="W65" s="57">
        <v>0</v>
      </c>
      <c r="X65" s="61">
        <f t="shared" si="56"/>
        <v>4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542.94654443232207</v>
      </c>
      <c r="AB65" s="35">
        <f t="shared" ref="AB65:AB80" si="69">X65</f>
        <v>4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147.02331446521748</v>
      </c>
      <c r="AD65" s="57">
        <v>0</v>
      </c>
      <c r="AE65" s="57">
        <v>0</v>
      </c>
      <c r="AF65" s="61">
        <f t="shared" si="57"/>
        <v>4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588.09325786086993</v>
      </c>
      <c r="AJ65" s="35">
        <f t="shared" si="58"/>
        <v>4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158.9506916918869</v>
      </c>
      <c r="AL65" s="57">
        <v>0</v>
      </c>
      <c r="AM65" s="57">
        <v>0</v>
      </c>
      <c r="AN65" s="61">
        <f t="shared" si="59"/>
        <v>4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635.80276676754761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4</v>
      </c>
      <c r="G66" s="35">
        <f>SUMIFS(WORKING!$AC$3:$AC$6802,WORKING!$A$3:$A$6802,Results!$D$3,WORKING!$B$3:$B$6802,Results!A66,WORKING!$C$3:$C$6802,Results!C66)/1000</f>
        <v>629.54112999999995</v>
      </c>
      <c r="H66" s="35">
        <f t="shared" si="60"/>
        <v>157.38528249999999</v>
      </c>
      <c r="I66" s="187">
        <v>4</v>
      </c>
      <c r="J66" s="212">
        <v>559</v>
      </c>
      <c r="K66" s="217">
        <f t="shared" si="61"/>
        <v>139.75</v>
      </c>
      <c r="L66" s="34">
        <f t="shared" si="54"/>
        <v>4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151.47476037055381</v>
      </c>
      <c r="N66" s="57">
        <v>0</v>
      </c>
      <c r="O66" s="57">
        <v>0</v>
      </c>
      <c r="P66" s="61">
        <f t="shared" si="55"/>
        <v>4</v>
      </c>
      <c r="Q66" s="40">
        <f t="shared" si="62"/>
        <v>0</v>
      </c>
      <c r="R66" s="40">
        <f t="shared" si="63"/>
        <v>0</v>
      </c>
      <c r="S66" s="44">
        <f t="shared" si="64"/>
        <v>605.89904148221524</v>
      </c>
      <c r="T66" s="35">
        <f t="shared" si="65"/>
        <v>4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164.15103901846456</v>
      </c>
      <c r="V66" s="57">
        <v>0</v>
      </c>
      <c r="W66" s="57">
        <v>0</v>
      </c>
      <c r="X66" s="61">
        <f t="shared" si="56"/>
        <v>4</v>
      </c>
      <c r="Y66" s="40">
        <f t="shared" si="66"/>
        <v>0</v>
      </c>
      <c r="Z66" s="40">
        <f t="shared" si="67"/>
        <v>0</v>
      </c>
      <c r="AA66" s="44">
        <f t="shared" si="68"/>
        <v>656.60415607385823</v>
      </c>
      <c r="AB66" s="35">
        <f t="shared" si="69"/>
        <v>4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177.72205777851164</v>
      </c>
      <c r="AD66" s="57">
        <v>0</v>
      </c>
      <c r="AE66" s="57">
        <v>0</v>
      </c>
      <c r="AF66" s="61">
        <f t="shared" si="57"/>
        <v>4</v>
      </c>
      <c r="AG66" s="40">
        <f t="shared" si="70"/>
        <v>0</v>
      </c>
      <c r="AH66" s="40">
        <f t="shared" si="71"/>
        <v>0</v>
      </c>
      <c r="AI66" s="44">
        <f t="shared" si="72"/>
        <v>710.88823111404656</v>
      </c>
      <c r="AJ66" s="35">
        <f t="shared" si="58"/>
        <v>4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192.05541748502091</v>
      </c>
      <c r="AL66" s="57">
        <v>0</v>
      </c>
      <c r="AM66" s="57">
        <v>0</v>
      </c>
      <c r="AN66" s="61">
        <f t="shared" si="59"/>
        <v>4</v>
      </c>
      <c r="AO66" s="40">
        <f t="shared" si="73"/>
        <v>0</v>
      </c>
      <c r="AP66" s="40">
        <f t="shared" si="74"/>
        <v>0</v>
      </c>
      <c r="AQ66" s="44">
        <f t="shared" si="75"/>
        <v>768.22166994008364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2</v>
      </c>
      <c r="G67" s="35">
        <f>SUMIFS(WORKING!$AC$3:$AC$6802,WORKING!$A$3:$A$6802,Results!$D$3,WORKING!$B$3:$B$6802,Results!A67,WORKING!$C$3:$C$6802,Results!C67)/1000</f>
        <v>372.88977</v>
      </c>
      <c r="H67" s="35">
        <f t="shared" si="60"/>
        <v>186.444885</v>
      </c>
      <c r="I67" s="187">
        <v>2</v>
      </c>
      <c r="J67" s="212">
        <v>329</v>
      </c>
      <c r="K67" s="217">
        <f t="shared" si="61"/>
        <v>164.5</v>
      </c>
      <c r="L67" s="34">
        <f t="shared" si="54"/>
        <v>2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178.6630931725156</v>
      </c>
      <c r="N67" s="57">
        <v>0</v>
      </c>
      <c r="O67" s="57">
        <v>0</v>
      </c>
      <c r="P67" s="61">
        <f t="shared" si="55"/>
        <v>2</v>
      </c>
      <c r="Q67" s="40">
        <f t="shared" si="62"/>
        <v>0</v>
      </c>
      <c r="R67" s="40">
        <f t="shared" si="63"/>
        <v>0</v>
      </c>
      <c r="S67" s="44">
        <f t="shared" si="64"/>
        <v>357.3261863450312</v>
      </c>
      <c r="T67" s="35">
        <f t="shared" si="65"/>
        <v>2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193.72722062406609</v>
      </c>
      <c r="V67" s="57">
        <v>0</v>
      </c>
      <c r="W67" s="57">
        <v>0</v>
      </c>
      <c r="X67" s="61">
        <f t="shared" si="56"/>
        <v>2</v>
      </c>
      <c r="Y67" s="40">
        <f t="shared" si="66"/>
        <v>0</v>
      </c>
      <c r="Z67" s="40">
        <f t="shared" si="67"/>
        <v>0</v>
      </c>
      <c r="AA67" s="44">
        <f t="shared" si="68"/>
        <v>387.45444124813218</v>
      </c>
      <c r="AB67" s="35">
        <f t="shared" si="69"/>
        <v>2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209.86532899677752</v>
      </c>
      <c r="AD67" s="57">
        <v>0</v>
      </c>
      <c r="AE67" s="57">
        <v>0</v>
      </c>
      <c r="AF67" s="61">
        <f t="shared" si="57"/>
        <v>2</v>
      </c>
      <c r="AG67" s="40">
        <f t="shared" si="70"/>
        <v>0</v>
      </c>
      <c r="AH67" s="40">
        <f t="shared" si="71"/>
        <v>0</v>
      </c>
      <c r="AI67" s="44">
        <f t="shared" si="72"/>
        <v>419.73065799355504</v>
      </c>
      <c r="AJ67" s="35">
        <f t="shared" si="58"/>
        <v>2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226.92278517735966</v>
      </c>
      <c r="AL67" s="57">
        <v>0</v>
      </c>
      <c r="AM67" s="57">
        <v>0</v>
      </c>
      <c r="AN67" s="61">
        <f t="shared" si="59"/>
        <v>2</v>
      </c>
      <c r="AO67" s="40">
        <f t="shared" si="73"/>
        <v>0</v>
      </c>
      <c r="AP67" s="40">
        <f t="shared" si="74"/>
        <v>0</v>
      </c>
      <c r="AQ67" s="44">
        <f t="shared" si="75"/>
        <v>453.84557035471931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4</v>
      </c>
      <c r="G68" s="35">
        <f>SUMIFS(WORKING!$AC$3:$AC$6802,WORKING!$A$3:$A$6802,Results!$D$3,WORKING!$B$3:$B$6802,Results!A68,WORKING!$C$3:$C$6802,Results!C68)/1000</f>
        <v>895.94044999999994</v>
      </c>
      <c r="H68" s="35">
        <f t="shared" si="60"/>
        <v>223.98511249999999</v>
      </c>
      <c r="I68" s="187">
        <v>4</v>
      </c>
      <c r="J68" s="212">
        <v>613</v>
      </c>
      <c r="K68" s="217">
        <f t="shared" si="61"/>
        <v>153.25</v>
      </c>
      <c r="L68" s="34">
        <f t="shared" si="54"/>
        <v>4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166.45008980773969</v>
      </c>
      <c r="N68" s="57">
        <v>7</v>
      </c>
      <c r="O68" s="57">
        <v>0</v>
      </c>
      <c r="P68" s="61">
        <f t="shared" si="55"/>
        <v>11</v>
      </c>
      <c r="Q68" s="40">
        <f t="shared" si="62"/>
        <v>1165.1506286541778</v>
      </c>
      <c r="R68" s="40">
        <f t="shared" si="63"/>
        <v>0</v>
      </c>
      <c r="S68" s="44">
        <f t="shared" si="64"/>
        <v>1830.9509878851366</v>
      </c>
      <c r="T68" s="35">
        <f t="shared" si="65"/>
        <v>11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180.48609302919664</v>
      </c>
      <c r="V68" s="57">
        <v>0</v>
      </c>
      <c r="W68" s="57">
        <v>0</v>
      </c>
      <c r="X68" s="61">
        <f t="shared" si="56"/>
        <v>11</v>
      </c>
      <c r="Y68" s="40">
        <f t="shared" si="66"/>
        <v>0</v>
      </c>
      <c r="Z68" s="40">
        <f t="shared" si="67"/>
        <v>0</v>
      </c>
      <c r="AA68" s="44">
        <f t="shared" si="68"/>
        <v>1985.3470233211631</v>
      </c>
      <c r="AB68" s="35">
        <f t="shared" si="69"/>
        <v>11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195.52294573980427</v>
      </c>
      <c r="AD68" s="57">
        <v>0</v>
      </c>
      <c r="AE68" s="57">
        <v>0</v>
      </c>
      <c r="AF68" s="61">
        <f t="shared" si="57"/>
        <v>11</v>
      </c>
      <c r="AG68" s="40">
        <f t="shared" si="70"/>
        <v>0</v>
      </c>
      <c r="AH68" s="40">
        <f t="shared" si="71"/>
        <v>0</v>
      </c>
      <c r="AI68" s="44">
        <f t="shared" si="72"/>
        <v>2150.7524031378471</v>
      </c>
      <c r="AJ68" s="35">
        <f t="shared" si="58"/>
        <v>11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211.41662519235021</v>
      </c>
      <c r="AL68" s="57">
        <v>0</v>
      </c>
      <c r="AM68" s="57">
        <v>0</v>
      </c>
      <c r="AN68" s="61">
        <f t="shared" si="59"/>
        <v>11</v>
      </c>
      <c r="AO68" s="40">
        <f t="shared" si="73"/>
        <v>0</v>
      </c>
      <c r="AP68" s="40">
        <f t="shared" si="74"/>
        <v>0</v>
      </c>
      <c r="AQ68" s="44">
        <f t="shared" si="75"/>
        <v>2325.5828771158522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2</v>
      </c>
      <c r="G69" s="35">
        <f>SUMIFS(WORKING!$AC$3:$AC$6802,WORKING!$A$3:$A$6802,Results!$D$3,WORKING!$B$3:$B$6802,Results!A69,WORKING!$C$3:$C$6802,Results!C69)/1000</f>
        <v>364.97055999999998</v>
      </c>
      <c r="H69" s="35">
        <f t="shared" si="60"/>
        <v>182.48527999999999</v>
      </c>
      <c r="I69" s="187">
        <v>2</v>
      </c>
      <c r="J69" s="212">
        <v>469</v>
      </c>
      <c r="K69" s="217">
        <f t="shared" si="61"/>
        <v>234.5</v>
      </c>
      <c r="L69" s="34">
        <f t="shared" si="54"/>
        <v>2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254.79047505392572</v>
      </c>
      <c r="N69" s="57">
        <v>0</v>
      </c>
      <c r="O69" s="57">
        <v>0</v>
      </c>
      <c r="P69" s="61">
        <f t="shared" si="55"/>
        <v>2</v>
      </c>
      <c r="Q69" s="40">
        <f t="shared" si="62"/>
        <v>0</v>
      </c>
      <c r="R69" s="40">
        <f t="shared" si="63"/>
        <v>0</v>
      </c>
      <c r="S69" s="44">
        <f t="shared" si="64"/>
        <v>509.58095010785144</v>
      </c>
      <c r="T69" s="35">
        <f t="shared" si="65"/>
        <v>2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276.30523969082356</v>
      </c>
      <c r="V69" s="57">
        <v>0</v>
      </c>
      <c r="W69" s="57">
        <v>0</v>
      </c>
      <c r="X69" s="61">
        <f t="shared" si="56"/>
        <v>2</v>
      </c>
      <c r="Y69" s="40">
        <f t="shared" si="66"/>
        <v>0</v>
      </c>
      <c r="Z69" s="40">
        <f t="shared" si="67"/>
        <v>0</v>
      </c>
      <c r="AA69" s="44">
        <f t="shared" si="68"/>
        <v>552.61047938164711</v>
      </c>
      <c r="AB69" s="35">
        <f t="shared" si="69"/>
        <v>2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299.3568948236346</v>
      </c>
      <c r="AD69" s="57">
        <v>0</v>
      </c>
      <c r="AE69" s="57">
        <v>0</v>
      </c>
      <c r="AF69" s="61">
        <f t="shared" si="57"/>
        <v>2</v>
      </c>
      <c r="AG69" s="40">
        <f t="shared" si="70"/>
        <v>0</v>
      </c>
      <c r="AH69" s="40">
        <f t="shared" si="71"/>
        <v>0</v>
      </c>
      <c r="AI69" s="44">
        <f t="shared" si="72"/>
        <v>598.71378964726921</v>
      </c>
      <c r="AJ69" s="35">
        <f t="shared" si="58"/>
        <v>2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323.7253399683529</v>
      </c>
      <c r="AL69" s="57">
        <v>0</v>
      </c>
      <c r="AM69" s="57">
        <v>0</v>
      </c>
      <c r="AN69" s="61">
        <f t="shared" si="59"/>
        <v>2</v>
      </c>
      <c r="AO69" s="40">
        <f t="shared" si="73"/>
        <v>0</v>
      </c>
      <c r="AP69" s="40">
        <f t="shared" si="74"/>
        <v>0</v>
      </c>
      <c r="AQ69" s="44">
        <f t="shared" si="75"/>
        <v>647.4506799367058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7</v>
      </c>
      <c r="G70" s="35">
        <f>SUMIFS(WORKING!$AC$3:$AC$6802,WORKING!$A$3:$A$6802,Results!$D$3,WORKING!$B$3:$B$6802,Results!A70,WORKING!$C$3:$C$6802,Results!C70)/1000</f>
        <v>2254.5649499999995</v>
      </c>
      <c r="H70" s="35">
        <f t="shared" si="60"/>
        <v>322.08070714285708</v>
      </c>
      <c r="I70" s="187">
        <v>6</v>
      </c>
      <c r="J70" s="212">
        <v>1817</v>
      </c>
      <c r="K70" s="217">
        <f t="shared" si="61"/>
        <v>302.83333333333331</v>
      </c>
      <c r="L70" s="34">
        <f t="shared" si="54"/>
        <v>6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329.56205557097036</v>
      </c>
      <c r="N70" s="57">
        <v>3</v>
      </c>
      <c r="O70" s="57">
        <v>0</v>
      </c>
      <c r="P70" s="61">
        <f t="shared" si="55"/>
        <v>9</v>
      </c>
      <c r="Q70" s="40">
        <f t="shared" si="62"/>
        <v>988.68616671291102</v>
      </c>
      <c r="R70" s="40">
        <f t="shared" si="63"/>
        <v>0</v>
      </c>
      <c r="S70" s="44">
        <f t="shared" si="64"/>
        <v>2966.0585001387331</v>
      </c>
      <c r="T70" s="35">
        <f t="shared" si="65"/>
        <v>9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357.55347157642331</v>
      </c>
      <c r="V70" s="57">
        <v>0</v>
      </c>
      <c r="W70" s="57">
        <v>0</v>
      </c>
      <c r="X70" s="61">
        <f t="shared" si="56"/>
        <v>9</v>
      </c>
      <c r="Y70" s="40">
        <f t="shared" si="66"/>
        <v>0</v>
      </c>
      <c r="Z70" s="40">
        <f t="shared" si="67"/>
        <v>0</v>
      </c>
      <c r="AA70" s="44">
        <f t="shared" si="68"/>
        <v>3217.9812441878098</v>
      </c>
      <c r="AB70" s="35">
        <f t="shared" si="69"/>
        <v>9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387.56003605088495</v>
      </c>
      <c r="AD70" s="57">
        <v>0</v>
      </c>
      <c r="AE70" s="57">
        <v>0</v>
      </c>
      <c r="AF70" s="61">
        <f t="shared" si="57"/>
        <v>9</v>
      </c>
      <c r="AG70" s="40">
        <f t="shared" si="70"/>
        <v>0</v>
      </c>
      <c r="AH70" s="40">
        <f t="shared" si="71"/>
        <v>0</v>
      </c>
      <c r="AI70" s="44">
        <f t="shared" si="72"/>
        <v>3488.0403244579647</v>
      </c>
      <c r="AJ70" s="35">
        <f t="shared" si="58"/>
        <v>9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419.29938156270265</v>
      </c>
      <c r="AL70" s="57">
        <v>0</v>
      </c>
      <c r="AM70" s="57">
        <v>0</v>
      </c>
      <c r="AN70" s="61">
        <f t="shared" si="59"/>
        <v>9</v>
      </c>
      <c r="AO70" s="40">
        <f t="shared" si="73"/>
        <v>0</v>
      </c>
      <c r="AP70" s="40">
        <f t="shared" si="74"/>
        <v>0</v>
      </c>
      <c r="AQ70" s="44">
        <f t="shared" si="75"/>
        <v>3773.694434064324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5</v>
      </c>
      <c r="G71" s="35">
        <f>SUMIFS(WORKING!$AC$3:$AC$6802,WORKING!$A$3:$A$6802,Results!$D$3,WORKING!$B$3:$B$6802,Results!A71,WORKING!$C$3:$C$6802,Results!C71)/1000</f>
        <v>1736.4146799999999</v>
      </c>
      <c r="H71" s="35">
        <f>IFERROR(G71/F71,0)</f>
        <v>347.28293599999995</v>
      </c>
      <c r="I71" s="187">
        <v>4</v>
      </c>
      <c r="J71" s="212">
        <v>1563</v>
      </c>
      <c r="K71" s="217">
        <f t="shared" si="61"/>
        <v>390.75</v>
      </c>
      <c r="L71" s="34">
        <f t="shared" si="54"/>
        <v>4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425.34802843387286</v>
      </c>
      <c r="N71" s="57">
        <v>1</v>
      </c>
      <c r="O71" s="57">
        <v>0</v>
      </c>
      <c r="P71" s="61">
        <f t="shared" si="55"/>
        <v>5</v>
      </c>
      <c r="Q71" s="40">
        <f t="shared" si="62"/>
        <v>425.34802843387286</v>
      </c>
      <c r="R71" s="40">
        <f t="shared" si="63"/>
        <v>0</v>
      </c>
      <c r="S71" s="44">
        <f t="shared" si="64"/>
        <v>2126.7401421693644</v>
      </c>
      <c r="T71" s="35">
        <f t="shared" si="65"/>
        <v>5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461.51058929227412</v>
      </c>
      <c r="V71" s="57">
        <v>0</v>
      </c>
      <c r="W71" s="57">
        <v>0</v>
      </c>
      <c r="X71" s="61">
        <f t="shared" si="56"/>
        <v>5</v>
      </c>
      <c r="Y71" s="40">
        <f t="shared" si="66"/>
        <v>0</v>
      </c>
      <c r="Z71" s="40">
        <f t="shared" si="67"/>
        <v>0</v>
      </c>
      <c r="AA71" s="44">
        <f t="shared" si="68"/>
        <v>2307.5529464613705</v>
      </c>
      <c r="AB71" s="35">
        <f t="shared" si="69"/>
        <v>5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500.27988922743396</v>
      </c>
      <c r="AD71" s="57">
        <v>0</v>
      </c>
      <c r="AE71" s="57">
        <v>0</v>
      </c>
      <c r="AF71" s="61">
        <f t="shared" si="57"/>
        <v>5</v>
      </c>
      <c r="AG71" s="40">
        <f t="shared" si="70"/>
        <v>0</v>
      </c>
      <c r="AH71" s="40">
        <f t="shared" si="71"/>
        <v>0</v>
      </c>
      <c r="AI71" s="44">
        <f t="shared" si="72"/>
        <v>2501.3994461371699</v>
      </c>
      <c r="AJ71" s="35">
        <f t="shared" si="58"/>
        <v>5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541.29191097189698</v>
      </c>
      <c r="AL71" s="57">
        <v>0</v>
      </c>
      <c r="AM71" s="57">
        <v>0</v>
      </c>
      <c r="AN71" s="61">
        <f t="shared" si="59"/>
        <v>5</v>
      </c>
      <c r="AO71" s="40">
        <f t="shared" si="73"/>
        <v>0</v>
      </c>
      <c r="AP71" s="40">
        <f t="shared" si="74"/>
        <v>0</v>
      </c>
      <c r="AQ71" s="44">
        <f t="shared" si="75"/>
        <v>2706.4595548594848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1</v>
      </c>
      <c r="G72" s="35">
        <f>SUMIFS(WORKING!$AC$3:$AC$6802,WORKING!$A$3:$A$6802,Results!$D$3,WORKING!$B$3:$B$6802,Results!A72,WORKING!$C$3:$C$6802,Results!C72)/1000</f>
        <v>674.81080000000009</v>
      </c>
      <c r="H72" s="35">
        <f t="shared" si="60"/>
        <v>674.81080000000009</v>
      </c>
      <c r="I72" s="187">
        <v>1</v>
      </c>
      <c r="J72" s="212">
        <v>427</v>
      </c>
      <c r="K72" s="217">
        <f>IFERROR(IF(J72="",G72,J72)/IF(I72="",F72,I72),"")</f>
        <v>427</v>
      </c>
      <c r="L72" s="34">
        <f t="shared" si="54"/>
        <v>1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465.95187675899166</v>
      </c>
      <c r="N72" s="57">
        <v>0</v>
      </c>
      <c r="O72" s="57">
        <v>0</v>
      </c>
      <c r="P72" s="61">
        <f t="shared" si="55"/>
        <v>1</v>
      </c>
      <c r="Q72" s="40">
        <f t="shared" si="62"/>
        <v>0</v>
      </c>
      <c r="R72" s="40">
        <f t="shared" si="63"/>
        <v>0</v>
      </c>
      <c r="S72" s="44">
        <f t="shared" si="64"/>
        <v>465.95187675899166</v>
      </c>
      <c r="T72" s="35">
        <f t="shared" si="65"/>
        <v>1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505.92291701477865</v>
      </c>
      <c r="V72" s="57">
        <v>0</v>
      </c>
      <c r="W72" s="57">
        <v>0</v>
      </c>
      <c r="X72" s="61">
        <f t="shared" si="56"/>
        <v>1</v>
      </c>
      <c r="Y72" s="40">
        <f t="shared" si="66"/>
        <v>0</v>
      </c>
      <c r="Z72" s="40">
        <f t="shared" si="67"/>
        <v>0</v>
      </c>
      <c r="AA72" s="44">
        <f t="shared" si="68"/>
        <v>505.92291701477865</v>
      </c>
      <c r="AB72" s="35">
        <f t="shared" si="69"/>
        <v>1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548.80955319312591</v>
      </c>
      <c r="AD72" s="57">
        <v>0</v>
      </c>
      <c r="AE72" s="57">
        <v>0</v>
      </c>
      <c r="AF72" s="61">
        <f t="shared" si="57"/>
        <v>1</v>
      </c>
      <c r="AG72" s="40">
        <f t="shared" si="70"/>
        <v>0</v>
      </c>
      <c r="AH72" s="40">
        <f t="shared" si="71"/>
        <v>0</v>
      </c>
      <c r="AI72" s="44">
        <f t="shared" si="72"/>
        <v>548.80955319312591</v>
      </c>
      <c r="AJ72" s="35">
        <f t="shared" si="58"/>
        <v>1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594.21810395295063</v>
      </c>
      <c r="AL72" s="57">
        <v>0</v>
      </c>
      <c r="AM72" s="57">
        <v>0</v>
      </c>
      <c r="AN72" s="61">
        <f t="shared" si="59"/>
        <v>1</v>
      </c>
      <c r="AO72" s="40">
        <f t="shared" si="73"/>
        <v>0</v>
      </c>
      <c r="AP72" s="40">
        <f t="shared" si="74"/>
        <v>0</v>
      </c>
      <c r="AQ72" s="44">
        <f t="shared" si="75"/>
        <v>594.21810395295063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6</v>
      </c>
      <c r="G73" s="35">
        <f>SUMIFS(WORKING!$AC$3:$AC$6802,WORKING!$A$3:$A$6802,Results!$D$3,WORKING!$B$3:$B$6802,Results!A73,WORKING!$C$3:$C$6802,Results!C73)/1000</f>
        <v>4028.8152599999999</v>
      </c>
      <c r="H73" s="35">
        <f t="shared" si="60"/>
        <v>671.46920999999998</v>
      </c>
      <c r="I73" s="187">
        <v>6</v>
      </c>
      <c r="J73" s="212">
        <v>3199</v>
      </c>
      <c r="K73" s="217">
        <f t="shared" si="61"/>
        <v>533.16666666666663</v>
      </c>
      <c r="L73" s="34">
        <f t="shared" si="54"/>
        <v>6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581.0398016762407</v>
      </c>
      <c r="N73" s="57">
        <v>1</v>
      </c>
      <c r="O73" s="57">
        <v>0</v>
      </c>
      <c r="P73" s="61">
        <f t="shared" si="55"/>
        <v>7</v>
      </c>
      <c r="Q73" s="40">
        <f t="shared" si="62"/>
        <v>581.0398016762407</v>
      </c>
      <c r="R73" s="40">
        <f t="shared" si="63"/>
        <v>0</v>
      </c>
      <c r="S73" s="44">
        <f t="shared" si="64"/>
        <v>4067.278611733685</v>
      </c>
      <c r="T73" s="35">
        <f t="shared" si="65"/>
        <v>7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630.6456205329697</v>
      </c>
      <c r="V73" s="57">
        <v>0</v>
      </c>
      <c r="W73" s="57">
        <v>0</v>
      </c>
      <c r="X73" s="61">
        <f t="shared" si="56"/>
        <v>7</v>
      </c>
      <c r="Y73" s="40">
        <f t="shared" si="66"/>
        <v>0</v>
      </c>
      <c r="Z73" s="40">
        <f t="shared" si="67"/>
        <v>0</v>
      </c>
      <c r="AA73" s="44">
        <f t="shared" si="68"/>
        <v>4414.519343730788</v>
      </c>
      <c r="AB73" s="35">
        <f t="shared" si="69"/>
        <v>7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683.8470709159775</v>
      </c>
      <c r="AD73" s="57">
        <v>0</v>
      </c>
      <c r="AE73" s="57">
        <v>0</v>
      </c>
      <c r="AF73" s="61">
        <f t="shared" si="57"/>
        <v>7</v>
      </c>
      <c r="AG73" s="40">
        <f t="shared" si="70"/>
        <v>0</v>
      </c>
      <c r="AH73" s="40">
        <f t="shared" si="71"/>
        <v>0</v>
      </c>
      <c r="AI73" s="44">
        <f t="shared" si="72"/>
        <v>4786.9294964118426</v>
      </c>
      <c r="AJ73" s="35">
        <f t="shared" si="58"/>
        <v>7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740.14987395636865</v>
      </c>
      <c r="AL73" s="57">
        <v>0</v>
      </c>
      <c r="AM73" s="57">
        <v>0</v>
      </c>
      <c r="AN73" s="61">
        <f t="shared" si="59"/>
        <v>7</v>
      </c>
      <c r="AO73" s="40">
        <f t="shared" si="73"/>
        <v>0</v>
      </c>
      <c r="AP73" s="40">
        <f t="shared" si="74"/>
        <v>0</v>
      </c>
      <c r="AQ73" s="44">
        <f t="shared" si="75"/>
        <v>5181.0491176945807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0</v>
      </c>
      <c r="G74" s="35">
        <f>SUMIFS(WORKING!$AC$3:$AC$6802,WORKING!$A$3:$A$6802,Results!$D$3,WORKING!$B$3:$B$6802,Results!A74,WORKING!$C$3:$C$6802,Results!C74)/1000</f>
        <v>44.500959999999999</v>
      </c>
      <c r="H74" s="35">
        <f t="shared" si="60"/>
        <v>0</v>
      </c>
      <c r="I74" s="187" t="s">
        <v>754</v>
      </c>
      <c r="J74" s="212">
        <v>0</v>
      </c>
      <c r="K74" s="217" t="str">
        <f t="shared" si="61"/>
        <v/>
      </c>
      <c r="L74" s="34">
        <f t="shared" si="54"/>
        <v>0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0</v>
      </c>
      <c r="N74" s="57">
        <v>0</v>
      </c>
      <c r="O74" s="57">
        <v>0</v>
      </c>
      <c r="P74" s="61">
        <f t="shared" si="55"/>
        <v>0</v>
      </c>
      <c r="Q74" s="40">
        <f t="shared" si="62"/>
        <v>0</v>
      </c>
      <c r="R74" s="40">
        <f t="shared" si="63"/>
        <v>0</v>
      </c>
      <c r="S74" s="44">
        <f t="shared" si="64"/>
        <v>0</v>
      </c>
      <c r="T74" s="35">
        <f t="shared" si="65"/>
        <v>0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0</v>
      </c>
      <c r="V74" s="57">
        <v>0</v>
      </c>
      <c r="W74" s="57">
        <v>0</v>
      </c>
      <c r="X74" s="61">
        <f t="shared" si="56"/>
        <v>0</v>
      </c>
      <c r="Y74" s="40">
        <f t="shared" si="66"/>
        <v>0</v>
      </c>
      <c r="Z74" s="40">
        <f t="shared" si="67"/>
        <v>0</v>
      </c>
      <c r="AA74" s="44">
        <f t="shared" si="68"/>
        <v>0</v>
      </c>
      <c r="AB74" s="35">
        <f t="shared" si="69"/>
        <v>0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0</v>
      </c>
      <c r="AD74" s="57">
        <v>0</v>
      </c>
      <c r="AE74" s="57">
        <v>0</v>
      </c>
      <c r="AF74" s="61">
        <f t="shared" si="57"/>
        <v>0</v>
      </c>
      <c r="AG74" s="40">
        <f t="shared" si="70"/>
        <v>0</v>
      </c>
      <c r="AH74" s="40">
        <f t="shared" si="71"/>
        <v>0</v>
      </c>
      <c r="AI74" s="44">
        <f t="shared" si="72"/>
        <v>0</v>
      </c>
      <c r="AJ74" s="35">
        <f t="shared" si="58"/>
        <v>0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0</v>
      </c>
      <c r="AL74" s="57">
        <v>0</v>
      </c>
      <c r="AM74" s="57">
        <v>0</v>
      </c>
      <c r="AN74" s="61">
        <f t="shared" si="59"/>
        <v>0</v>
      </c>
      <c r="AO74" s="40">
        <f t="shared" si="73"/>
        <v>0</v>
      </c>
      <c r="AP74" s="40">
        <f t="shared" si="74"/>
        <v>0</v>
      </c>
      <c r="AQ74" s="44">
        <f t="shared" si="75"/>
        <v>0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9</v>
      </c>
      <c r="G75" s="35">
        <f>SUMIFS(WORKING!$AC$3:$AC$6802,WORKING!$A$3:$A$6802,Results!$D$3,WORKING!$B$3:$B$6802,Results!A75,WORKING!$C$3:$C$6802,Results!C75)/1000</f>
        <v>5806.0328600000003</v>
      </c>
      <c r="H75" s="35">
        <f t="shared" si="60"/>
        <v>645.11476222222223</v>
      </c>
      <c r="I75" s="187">
        <v>8</v>
      </c>
      <c r="J75" s="212">
        <v>5810</v>
      </c>
      <c r="K75" s="217">
        <f t="shared" si="61"/>
        <v>726.25</v>
      </c>
      <c r="L75" s="34">
        <f t="shared" si="54"/>
        <v>8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792.9829473039274</v>
      </c>
      <c r="N75" s="57">
        <v>1</v>
      </c>
      <c r="O75" s="57">
        <v>0</v>
      </c>
      <c r="P75" s="61">
        <f t="shared" si="55"/>
        <v>9</v>
      </c>
      <c r="Q75" s="40">
        <f t="shared" si="62"/>
        <v>792.9829473039274</v>
      </c>
      <c r="R75" s="40">
        <f t="shared" si="63"/>
        <v>0</v>
      </c>
      <c r="S75" s="44">
        <f t="shared" si="64"/>
        <v>7136.8465257353464</v>
      </c>
      <c r="T75" s="35">
        <f t="shared" si="65"/>
        <v>9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861.01963867560858</v>
      </c>
      <c r="V75" s="57">
        <v>0</v>
      </c>
      <c r="W75" s="57">
        <v>0</v>
      </c>
      <c r="X75" s="61">
        <f t="shared" si="56"/>
        <v>9</v>
      </c>
      <c r="Y75" s="40">
        <f t="shared" si="66"/>
        <v>0</v>
      </c>
      <c r="Z75" s="40">
        <f t="shared" si="67"/>
        <v>0</v>
      </c>
      <c r="AA75" s="44">
        <f t="shared" si="68"/>
        <v>7749.1767480804774</v>
      </c>
      <c r="AB75" s="35">
        <f t="shared" si="69"/>
        <v>9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934.0200388078897</v>
      </c>
      <c r="AD75" s="57">
        <v>0</v>
      </c>
      <c r="AE75" s="57">
        <v>0</v>
      </c>
      <c r="AF75" s="61">
        <f t="shared" si="57"/>
        <v>9</v>
      </c>
      <c r="AG75" s="40">
        <f t="shared" si="70"/>
        <v>0</v>
      </c>
      <c r="AH75" s="40">
        <f t="shared" si="71"/>
        <v>0</v>
      </c>
      <c r="AI75" s="44">
        <f t="shared" si="72"/>
        <v>8406.1803492710078</v>
      </c>
      <c r="AJ75" s="35">
        <f t="shared" si="58"/>
        <v>9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1011.3140588911583</v>
      </c>
      <c r="AL75" s="57">
        <v>0</v>
      </c>
      <c r="AM75" s="57">
        <v>0</v>
      </c>
      <c r="AN75" s="61">
        <f t="shared" si="59"/>
        <v>9</v>
      </c>
      <c r="AO75" s="40">
        <f t="shared" si="73"/>
        <v>0</v>
      </c>
      <c r="AP75" s="40">
        <f t="shared" si="74"/>
        <v>0</v>
      </c>
      <c r="AQ75" s="44">
        <f t="shared" si="75"/>
        <v>9101.8265300204257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8</v>
      </c>
      <c r="G76" s="35">
        <f>SUMIFS(WORKING!$AC$3:$AC$6802,WORKING!$A$3:$A$6802,Results!$D$3,WORKING!$B$3:$B$6802,Results!A76,WORKING!$C$3:$C$6802,Results!C76)/1000</f>
        <v>9243.8464800000002</v>
      </c>
      <c r="H76" s="35">
        <f t="shared" si="60"/>
        <v>1155.48081</v>
      </c>
      <c r="I76" s="187">
        <v>9</v>
      </c>
      <c r="J76" s="212">
        <v>7895</v>
      </c>
      <c r="K76" s="217">
        <f t="shared" si="61"/>
        <v>877.22222222222217</v>
      </c>
      <c r="L76" s="34">
        <f t="shared" si="54"/>
        <v>9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919.68414012220103</v>
      </c>
      <c r="N76" s="57">
        <v>1</v>
      </c>
      <c r="O76" s="57">
        <v>0</v>
      </c>
      <c r="P76" s="61">
        <f t="shared" si="55"/>
        <v>10</v>
      </c>
      <c r="Q76" s="40">
        <f t="shared" si="62"/>
        <v>919.68414012220103</v>
      </c>
      <c r="R76" s="40">
        <f t="shared" si="63"/>
        <v>0</v>
      </c>
      <c r="S76" s="44">
        <f t="shared" si="64"/>
        <v>9196.841401222011</v>
      </c>
      <c r="T76" s="35">
        <f t="shared" si="65"/>
        <v>10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989.40320577750697</v>
      </c>
      <c r="V76" s="57">
        <v>0</v>
      </c>
      <c r="W76" s="57">
        <v>0</v>
      </c>
      <c r="X76" s="61">
        <f t="shared" si="56"/>
        <v>10</v>
      </c>
      <c r="Y76" s="40">
        <f t="shared" si="66"/>
        <v>0</v>
      </c>
      <c r="Z76" s="40">
        <f t="shared" si="67"/>
        <v>0</v>
      </c>
      <c r="AA76" s="44">
        <f t="shared" si="68"/>
        <v>9894.0320577750699</v>
      </c>
      <c r="AB76" s="35">
        <f t="shared" si="69"/>
        <v>10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1063.4033498304241</v>
      </c>
      <c r="AD76" s="57">
        <v>0</v>
      </c>
      <c r="AE76" s="57">
        <v>0</v>
      </c>
      <c r="AF76" s="61">
        <f t="shared" si="57"/>
        <v>10</v>
      </c>
      <c r="AG76" s="40">
        <f t="shared" si="70"/>
        <v>0</v>
      </c>
      <c r="AH76" s="40">
        <f t="shared" si="71"/>
        <v>0</v>
      </c>
      <c r="AI76" s="44">
        <f t="shared" si="72"/>
        <v>10634.033498304241</v>
      </c>
      <c r="AJ76" s="35">
        <f t="shared" si="58"/>
        <v>10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1140.7796415272303</v>
      </c>
      <c r="AL76" s="57">
        <v>0</v>
      </c>
      <c r="AM76" s="57">
        <v>0</v>
      </c>
      <c r="AN76" s="61">
        <f t="shared" si="59"/>
        <v>10</v>
      </c>
      <c r="AO76" s="40">
        <f t="shared" si="73"/>
        <v>0</v>
      </c>
      <c r="AP76" s="40">
        <f t="shared" si="74"/>
        <v>0</v>
      </c>
      <c r="AQ76" s="44">
        <f t="shared" si="75"/>
        <v>11407.796415272303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1</v>
      </c>
      <c r="G77" s="35">
        <f>SUMIFS(WORKING!$AC$3:$AC$6802,WORKING!$A$3:$A$6802,Results!$D$3,WORKING!$B$3:$B$6802,Results!A77,WORKING!$C$3:$C$6802,Results!C77)/1000</f>
        <v>3425.9880400000002</v>
      </c>
      <c r="H77" s="35">
        <f t="shared" si="60"/>
        <v>3425.9880400000002</v>
      </c>
      <c r="I77" s="187">
        <v>1</v>
      </c>
      <c r="J77" s="212">
        <v>1058</v>
      </c>
      <c r="K77" s="217">
        <f t="shared" si="61"/>
        <v>1058</v>
      </c>
      <c r="L77" s="34">
        <f t="shared" si="54"/>
        <v>1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1109.2825887767938</v>
      </c>
      <c r="N77" s="57">
        <v>1</v>
      </c>
      <c r="O77" s="57">
        <v>0</v>
      </c>
      <c r="P77" s="61">
        <f t="shared" si="55"/>
        <v>2</v>
      </c>
      <c r="Q77" s="40">
        <f t="shared" si="62"/>
        <v>1109.2825887767938</v>
      </c>
      <c r="R77" s="40">
        <f t="shared" si="63"/>
        <v>0</v>
      </c>
      <c r="S77" s="44">
        <f t="shared" si="64"/>
        <v>2218.5651775535875</v>
      </c>
      <c r="T77" s="35">
        <f t="shared" si="65"/>
        <v>2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1193.4501099529755</v>
      </c>
      <c r="V77" s="57">
        <v>0</v>
      </c>
      <c r="W77" s="57">
        <v>0</v>
      </c>
      <c r="X77" s="61">
        <f t="shared" si="56"/>
        <v>2</v>
      </c>
      <c r="Y77" s="40">
        <f t="shared" si="66"/>
        <v>0</v>
      </c>
      <c r="Z77" s="40">
        <f t="shared" si="67"/>
        <v>0</v>
      </c>
      <c r="AA77" s="44">
        <f t="shared" si="68"/>
        <v>2386.900219905951</v>
      </c>
      <c r="AB77" s="35">
        <f t="shared" si="69"/>
        <v>2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1282.7925708424598</v>
      </c>
      <c r="AD77" s="57">
        <v>0</v>
      </c>
      <c r="AE77" s="57">
        <v>0</v>
      </c>
      <c r="AF77" s="61">
        <f t="shared" si="57"/>
        <v>2</v>
      </c>
      <c r="AG77" s="40">
        <f t="shared" si="70"/>
        <v>0</v>
      </c>
      <c r="AH77" s="40">
        <f t="shared" si="71"/>
        <v>0</v>
      </c>
      <c r="AI77" s="44">
        <f t="shared" si="72"/>
        <v>2565.5851416849196</v>
      </c>
      <c r="AJ77" s="35">
        <f t="shared" si="58"/>
        <v>2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1376.2192572215972</v>
      </c>
      <c r="AL77" s="57">
        <v>0</v>
      </c>
      <c r="AM77" s="57">
        <v>0</v>
      </c>
      <c r="AN77" s="61">
        <f t="shared" si="59"/>
        <v>2</v>
      </c>
      <c r="AO77" s="40">
        <f t="shared" si="73"/>
        <v>0</v>
      </c>
      <c r="AP77" s="40">
        <f t="shared" si="74"/>
        <v>0</v>
      </c>
      <c r="AQ77" s="44">
        <f t="shared" si="75"/>
        <v>2752.4385144431944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1</v>
      </c>
      <c r="G78" s="35">
        <f>SUMIFS(WORKING!$AC$3:$AC$6802,WORKING!$A$3:$A$6802,Results!$D$3,WORKING!$B$3:$B$6802,Results!A78,WORKING!$C$3:$C$6802,Results!C78)/1000</f>
        <v>2075.1165499999997</v>
      </c>
      <c r="H78" s="35">
        <f t="shared" si="60"/>
        <v>2075.1165499999997</v>
      </c>
      <c r="I78" s="187">
        <v>1</v>
      </c>
      <c r="J78" s="212">
        <v>1428</v>
      </c>
      <c r="K78" s="217">
        <f t="shared" si="61"/>
        <v>1428</v>
      </c>
      <c r="L78" s="34">
        <f t="shared" si="54"/>
        <v>1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1497.2498031952171</v>
      </c>
      <c r="N78" s="57">
        <v>0</v>
      </c>
      <c r="O78" s="57">
        <v>0</v>
      </c>
      <c r="P78" s="61">
        <f t="shared" si="55"/>
        <v>1</v>
      </c>
      <c r="Q78" s="40">
        <f t="shared" si="62"/>
        <v>0</v>
      </c>
      <c r="R78" s="40">
        <f t="shared" si="63"/>
        <v>0</v>
      </c>
      <c r="S78" s="44">
        <f t="shared" si="64"/>
        <v>1497.2498031952171</v>
      </c>
      <c r="T78" s="35">
        <f t="shared" si="65"/>
        <v>1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1610.889926242271</v>
      </c>
      <c r="V78" s="57">
        <v>0</v>
      </c>
      <c r="W78" s="57">
        <v>0</v>
      </c>
      <c r="X78" s="61">
        <f t="shared" si="56"/>
        <v>1</v>
      </c>
      <c r="Y78" s="40">
        <f t="shared" si="66"/>
        <v>0</v>
      </c>
      <c r="Z78" s="40">
        <f t="shared" si="67"/>
        <v>0</v>
      </c>
      <c r="AA78" s="44">
        <f t="shared" si="68"/>
        <v>1610.889926242271</v>
      </c>
      <c r="AB78" s="35">
        <f t="shared" si="69"/>
        <v>1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1731.52019620892</v>
      </c>
      <c r="AD78" s="57">
        <v>0</v>
      </c>
      <c r="AE78" s="57">
        <v>0</v>
      </c>
      <c r="AF78" s="61">
        <f t="shared" si="57"/>
        <v>1</v>
      </c>
      <c r="AG78" s="40">
        <f t="shared" si="70"/>
        <v>0</v>
      </c>
      <c r="AH78" s="40">
        <f t="shared" si="71"/>
        <v>0</v>
      </c>
      <c r="AI78" s="44">
        <f t="shared" si="72"/>
        <v>1731.52019620892</v>
      </c>
      <c r="AJ78" s="35">
        <f t="shared" si="58"/>
        <v>1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1857.6687889041757</v>
      </c>
      <c r="AL78" s="57">
        <v>0</v>
      </c>
      <c r="AM78" s="57">
        <v>0</v>
      </c>
      <c r="AN78" s="61">
        <f t="shared" si="59"/>
        <v>1</v>
      </c>
      <c r="AO78" s="40">
        <f t="shared" si="73"/>
        <v>0</v>
      </c>
      <c r="AP78" s="40">
        <f t="shared" si="74"/>
        <v>0</v>
      </c>
      <c r="AQ78" s="44">
        <f t="shared" si="75"/>
        <v>1857.6687889041757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0</v>
      </c>
      <c r="G79" s="35">
        <f>SUMIFS(WORKING!$AC$3:$AC$6802,WORKING!$A$3:$A$6802,Results!$D$3,WORKING!$B$3:$B$6802,Results!A79,WORKING!$C$3:$C$6802,Results!C79)/1000</f>
        <v>0</v>
      </c>
      <c r="H79" s="35">
        <f t="shared" si="60"/>
        <v>0</v>
      </c>
      <c r="I79" s="187" t="s">
        <v>754</v>
      </c>
      <c r="J79" s="212" t="s">
        <v>754</v>
      </c>
      <c r="K79" s="217" t="str">
        <f t="shared" si="61"/>
        <v/>
      </c>
      <c r="L79" s="34">
        <f t="shared" si="54"/>
        <v>0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0</v>
      </c>
      <c r="N79" s="57">
        <v>0</v>
      </c>
      <c r="O79" s="57">
        <v>0</v>
      </c>
      <c r="P79" s="61">
        <f t="shared" si="55"/>
        <v>0</v>
      </c>
      <c r="Q79" s="40">
        <f t="shared" si="62"/>
        <v>0</v>
      </c>
      <c r="R79" s="40">
        <f t="shared" si="63"/>
        <v>0</v>
      </c>
      <c r="S79" s="44">
        <f t="shared" si="64"/>
        <v>0</v>
      </c>
      <c r="T79" s="35">
        <f t="shared" si="65"/>
        <v>0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0</v>
      </c>
      <c r="V79" s="57">
        <v>0</v>
      </c>
      <c r="W79" s="57">
        <v>0</v>
      </c>
      <c r="X79" s="61">
        <f t="shared" si="56"/>
        <v>0</v>
      </c>
      <c r="Y79" s="40">
        <f t="shared" si="66"/>
        <v>0</v>
      </c>
      <c r="Z79" s="40">
        <f t="shared" si="67"/>
        <v>0</v>
      </c>
      <c r="AA79" s="44">
        <f t="shared" si="68"/>
        <v>0</v>
      </c>
      <c r="AB79" s="35">
        <f t="shared" si="69"/>
        <v>0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0</v>
      </c>
      <c r="AD79" s="57">
        <v>0</v>
      </c>
      <c r="AE79" s="57">
        <v>0</v>
      </c>
      <c r="AF79" s="61">
        <f t="shared" si="57"/>
        <v>0</v>
      </c>
      <c r="AG79" s="40">
        <f t="shared" si="70"/>
        <v>0</v>
      </c>
      <c r="AH79" s="40">
        <f t="shared" si="71"/>
        <v>0</v>
      </c>
      <c r="AI79" s="44">
        <f t="shared" si="72"/>
        <v>0</v>
      </c>
      <c r="AJ79" s="35">
        <f t="shared" si="58"/>
        <v>0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0</v>
      </c>
      <c r="AL79" s="57">
        <v>0</v>
      </c>
      <c r="AM79" s="57">
        <v>0</v>
      </c>
      <c r="AN79" s="61">
        <f t="shared" si="59"/>
        <v>0</v>
      </c>
      <c r="AO79" s="40">
        <f t="shared" si="73"/>
        <v>0</v>
      </c>
      <c r="AP79" s="40">
        <f t="shared" si="74"/>
        <v>0</v>
      </c>
      <c r="AQ79" s="44">
        <f t="shared" si="75"/>
        <v>0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53</v>
      </c>
      <c r="G84" s="41">
        <f>SUM(G64:G83)</f>
        <v>32314.919279999998</v>
      </c>
      <c r="H84" s="41">
        <f>IFERROR(G84/F84,0)</f>
        <v>609.71545811320755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51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25762.05</v>
      </c>
      <c r="K84" s="41">
        <f>IFERROR(J84/I84,"")</f>
        <v>505.13823529411764</v>
      </c>
      <c r="L84" s="41">
        <f>SUM(L64:L83)</f>
        <v>51</v>
      </c>
      <c r="M84" s="41">
        <f>IFERROR(S84/P84,0)</f>
        <v>499.70278503066362</v>
      </c>
      <c r="N84" s="41">
        <f t="shared" ref="N84:T84" si="98">SUM(N64:N83)</f>
        <v>16</v>
      </c>
      <c r="O84" s="41">
        <f t="shared" si="98"/>
        <v>0</v>
      </c>
      <c r="P84" s="41">
        <f t="shared" si="98"/>
        <v>67</v>
      </c>
      <c r="Q84" s="41">
        <f t="shared" si="98"/>
        <v>6107.3736498619455</v>
      </c>
      <c r="R84" s="41">
        <f t="shared" si="98"/>
        <v>0</v>
      </c>
      <c r="S84" s="45">
        <f t="shared" si="98"/>
        <v>33480.086597054462</v>
      </c>
      <c r="T84" s="41">
        <f t="shared" si="98"/>
        <v>67</v>
      </c>
      <c r="U84" s="41">
        <f>IFERROR(AA84/X84,0)</f>
        <v>540.47668728142753</v>
      </c>
      <c r="V84" s="41">
        <f t="shared" ref="V84:AB84" si="99">SUM(V64:V83)</f>
        <v>0</v>
      </c>
      <c r="W84" s="41">
        <f t="shared" si="99"/>
        <v>0</v>
      </c>
      <c r="X84" s="41">
        <f t="shared" si="99"/>
        <v>67</v>
      </c>
      <c r="Y84" s="41">
        <f t="shared" si="99"/>
        <v>0</v>
      </c>
      <c r="Z84" s="41">
        <f t="shared" si="99"/>
        <v>0</v>
      </c>
      <c r="AA84" s="45">
        <f t="shared" si="99"/>
        <v>36211.938047855641</v>
      </c>
      <c r="AB84" s="41">
        <f t="shared" si="99"/>
        <v>67</v>
      </c>
      <c r="AC84" s="41">
        <f>IFERROR(AI84/AF84,0)</f>
        <v>584.03994545407124</v>
      </c>
      <c r="AD84" s="41">
        <f t="shared" ref="AD84:AJ84" si="100">SUM(AD64:AD83)</f>
        <v>0</v>
      </c>
      <c r="AE84" s="41">
        <f t="shared" si="100"/>
        <v>0</v>
      </c>
      <c r="AF84" s="41">
        <f t="shared" si="100"/>
        <v>67</v>
      </c>
      <c r="AG84" s="41">
        <f t="shared" si="100"/>
        <v>0</v>
      </c>
      <c r="AH84" s="41">
        <f t="shared" si="100"/>
        <v>0</v>
      </c>
      <c r="AI84" s="45">
        <f t="shared" si="100"/>
        <v>39130.676345422777</v>
      </c>
      <c r="AJ84" s="41">
        <f t="shared" si="100"/>
        <v>67</v>
      </c>
      <c r="AK84" s="41">
        <f>IFERROR(AQ84/AN84,0)</f>
        <v>629.94111975113969</v>
      </c>
      <c r="AL84" s="41">
        <f t="shared" ref="AL84:AQ84" si="101">SUM(AL64:AL83)</f>
        <v>0</v>
      </c>
      <c r="AM84" s="41">
        <f t="shared" si="101"/>
        <v>0</v>
      </c>
      <c r="AN84" s="41">
        <f t="shared" si="101"/>
        <v>67</v>
      </c>
      <c r="AO84" s="41">
        <f t="shared" si="101"/>
        <v>0</v>
      </c>
      <c r="AP84" s="41">
        <f t="shared" si="101"/>
        <v>0</v>
      </c>
      <c r="AQ84" s="45">
        <f t="shared" si="101"/>
        <v>42206.055023326357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33332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37678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41344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44486.144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-148.08659705446189</v>
      </c>
      <c r="T86" s="39"/>
      <c r="U86" s="39"/>
      <c r="V86" s="53"/>
      <c r="W86" s="53"/>
      <c r="X86" s="110"/>
      <c r="Y86" s="39"/>
      <c r="Z86" s="39"/>
      <c r="AA86" s="54">
        <f>AA85-AA84</f>
        <v>1466.0619521443587</v>
      </c>
      <c r="AB86" s="39"/>
      <c r="AC86" s="53"/>
      <c r="AD86" s="53"/>
      <c r="AE86" s="110"/>
      <c r="AF86" s="39"/>
      <c r="AG86" s="39"/>
      <c r="AH86" s="39"/>
      <c r="AI86" s="54">
        <f>AI85-AI84</f>
        <v>2213.3236545772234</v>
      </c>
      <c r="AJ86" s="53"/>
      <c r="AK86" s="53"/>
      <c r="AL86" s="110"/>
      <c r="AM86" s="110"/>
      <c r="AN86" s="110"/>
      <c r="AO86" s="110"/>
      <c r="AP86" s="111"/>
      <c r="AQ86" s="54">
        <f>AQ85-AQ84</f>
        <v>2280.0889766736436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Intersectoral Coordination and Strategic Partnerships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 t="s">
        <v>754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 t="s">
        <v>754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 t="s">
        <v>754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0</v>
      </c>
      <c r="H96" s="35">
        <f t="shared" si="108"/>
        <v>0</v>
      </c>
      <c r="I96" s="187" t="s">
        <v>754</v>
      </c>
      <c r="J96" s="212" t="s">
        <v>754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0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0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0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0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2</v>
      </c>
      <c r="G97" s="35">
        <f>SUMIFS(WORKING!$AC$3:$AC$6802,WORKING!$A$3:$A$6802,Results!$D$3,WORKING!$B$3:$B$6802,Results!A97,WORKING!$C$3:$C$6802,Results!C97)/1000</f>
        <v>412.39286999999996</v>
      </c>
      <c r="H97" s="35">
        <f t="shared" si="108"/>
        <v>206.19643499999998</v>
      </c>
      <c r="I97" s="187">
        <v>2</v>
      </c>
      <c r="J97" s="212">
        <v>469</v>
      </c>
      <c r="K97" s="217">
        <f t="shared" si="109"/>
        <v>234.5</v>
      </c>
      <c r="L97" s="34">
        <f t="shared" si="102"/>
        <v>2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255.38561472122288</v>
      </c>
      <c r="N97" s="57">
        <v>0</v>
      </c>
      <c r="O97" s="57">
        <v>0</v>
      </c>
      <c r="P97" s="61">
        <f t="shared" si="103"/>
        <v>2</v>
      </c>
      <c r="Q97" s="40">
        <f t="shared" si="110"/>
        <v>0</v>
      </c>
      <c r="R97" s="40">
        <f t="shared" si="111"/>
        <v>0</v>
      </c>
      <c r="S97" s="44">
        <f t="shared" si="112"/>
        <v>510.77122944244576</v>
      </c>
      <c r="T97" s="35">
        <f t="shared" si="113"/>
        <v>2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277.13918592200082</v>
      </c>
      <c r="V97" s="57">
        <v>0</v>
      </c>
      <c r="W97" s="57">
        <v>0</v>
      </c>
      <c r="X97" s="61">
        <f t="shared" si="104"/>
        <v>2</v>
      </c>
      <c r="Y97" s="40">
        <f t="shared" si="114"/>
        <v>0</v>
      </c>
      <c r="Z97" s="40">
        <f t="shared" si="115"/>
        <v>0</v>
      </c>
      <c r="AA97" s="44">
        <f t="shared" si="116"/>
        <v>554.27837184400164</v>
      </c>
      <c r="AB97" s="35">
        <f t="shared" si="117"/>
        <v>2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300.46459131054826</v>
      </c>
      <c r="AD97" s="57">
        <v>0</v>
      </c>
      <c r="AE97" s="57">
        <v>0</v>
      </c>
      <c r="AF97" s="61">
        <f t="shared" si="105"/>
        <v>2</v>
      </c>
      <c r="AG97" s="40">
        <f t="shared" si="118"/>
        <v>0</v>
      </c>
      <c r="AH97" s="40">
        <f t="shared" si="119"/>
        <v>0</v>
      </c>
      <c r="AI97" s="44">
        <f t="shared" si="120"/>
        <v>600.92918262109652</v>
      </c>
      <c r="AJ97" s="35">
        <f t="shared" si="106"/>
        <v>2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325.14361721488899</v>
      </c>
      <c r="AL97" s="57">
        <v>0</v>
      </c>
      <c r="AM97" s="57">
        <v>0</v>
      </c>
      <c r="AN97" s="61">
        <f t="shared" si="107"/>
        <v>2</v>
      </c>
      <c r="AO97" s="40">
        <f t="shared" si="121"/>
        <v>0</v>
      </c>
      <c r="AP97" s="40">
        <f t="shared" si="122"/>
        <v>0</v>
      </c>
      <c r="AQ97" s="44">
        <f t="shared" si="123"/>
        <v>650.28723442977798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1</v>
      </c>
      <c r="G98" s="35">
        <f>SUMIFS(WORKING!$AC$3:$AC$6802,WORKING!$A$3:$A$6802,Results!$D$3,WORKING!$B$3:$B$6802,Results!A98,WORKING!$C$3:$C$6802,Results!C98)/1000</f>
        <v>263.22464000000002</v>
      </c>
      <c r="H98" s="35">
        <f t="shared" si="108"/>
        <v>263.22464000000002</v>
      </c>
      <c r="I98" s="187">
        <v>1</v>
      </c>
      <c r="J98" s="212">
        <v>294</v>
      </c>
      <c r="K98" s="217">
        <f t="shared" si="109"/>
        <v>294</v>
      </c>
      <c r="L98" s="34">
        <f t="shared" si="102"/>
        <v>1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319.66378413433711</v>
      </c>
      <c r="N98" s="57">
        <v>0</v>
      </c>
      <c r="O98" s="57">
        <v>0</v>
      </c>
      <c r="P98" s="61">
        <f t="shared" si="103"/>
        <v>1</v>
      </c>
      <c r="Q98" s="40">
        <f t="shared" si="110"/>
        <v>0</v>
      </c>
      <c r="R98" s="40">
        <f t="shared" si="111"/>
        <v>0</v>
      </c>
      <c r="S98" s="44">
        <f t="shared" si="112"/>
        <v>319.66378413433711</v>
      </c>
      <c r="T98" s="35">
        <f t="shared" si="113"/>
        <v>1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346.73117772408006</v>
      </c>
      <c r="V98" s="57">
        <v>0</v>
      </c>
      <c r="W98" s="57">
        <v>0</v>
      </c>
      <c r="X98" s="61">
        <f t="shared" si="104"/>
        <v>1</v>
      </c>
      <c r="Y98" s="40">
        <f t="shared" si="114"/>
        <v>0</v>
      </c>
      <c r="Z98" s="40">
        <f t="shared" si="115"/>
        <v>0</v>
      </c>
      <c r="AA98" s="44">
        <f t="shared" si="116"/>
        <v>346.73117772408006</v>
      </c>
      <c r="AB98" s="35">
        <f t="shared" si="117"/>
        <v>1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375.73900034186272</v>
      </c>
      <c r="AD98" s="57">
        <v>0</v>
      </c>
      <c r="AE98" s="57">
        <v>0</v>
      </c>
      <c r="AF98" s="61">
        <f t="shared" si="105"/>
        <v>1</v>
      </c>
      <c r="AG98" s="40">
        <f t="shared" si="118"/>
        <v>0</v>
      </c>
      <c r="AH98" s="40">
        <f t="shared" si="119"/>
        <v>0</v>
      </c>
      <c r="AI98" s="44">
        <f t="shared" si="120"/>
        <v>375.73900034186272</v>
      </c>
      <c r="AJ98" s="35">
        <f t="shared" si="106"/>
        <v>1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406.41184801244481</v>
      </c>
      <c r="AL98" s="57">
        <v>0</v>
      </c>
      <c r="AM98" s="57">
        <v>0</v>
      </c>
      <c r="AN98" s="61">
        <f t="shared" si="107"/>
        <v>1</v>
      </c>
      <c r="AO98" s="40">
        <f t="shared" si="121"/>
        <v>0</v>
      </c>
      <c r="AP98" s="40">
        <f t="shared" si="122"/>
        <v>0</v>
      </c>
      <c r="AQ98" s="44">
        <f t="shared" si="123"/>
        <v>406.41184801244481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0</v>
      </c>
      <c r="G99" s="35">
        <f>SUMIFS(WORKING!$AC$3:$AC$6802,WORKING!$A$3:$A$6802,Results!$D$3,WORKING!$B$3:$B$6802,Results!A99,WORKING!$C$3:$C$6802,Results!C99)/1000</f>
        <v>0</v>
      </c>
      <c r="H99" s="35">
        <f t="shared" si="108"/>
        <v>0</v>
      </c>
      <c r="I99" s="187" t="s">
        <v>754</v>
      </c>
      <c r="J99" s="212" t="s">
        <v>754</v>
      </c>
      <c r="K99" s="217" t="str">
        <f t="shared" si="109"/>
        <v/>
      </c>
      <c r="L99" s="34">
        <f t="shared" si="102"/>
        <v>0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0</v>
      </c>
      <c r="N99" s="57">
        <v>0</v>
      </c>
      <c r="O99" s="57">
        <v>0</v>
      </c>
      <c r="P99" s="61">
        <f t="shared" si="103"/>
        <v>0</v>
      </c>
      <c r="Q99" s="40">
        <f t="shared" si="110"/>
        <v>0</v>
      </c>
      <c r="R99" s="40">
        <f t="shared" si="111"/>
        <v>0</v>
      </c>
      <c r="S99" s="44">
        <f t="shared" si="112"/>
        <v>0</v>
      </c>
      <c r="T99" s="35">
        <f t="shared" si="113"/>
        <v>0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0</v>
      </c>
      <c r="V99" s="57">
        <v>0</v>
      </c>
      <c r="W99" s="57">
        <v>0</v>
      </c>
      <c r="X99" s="61">
        <f t="shared" si="104"/>
        <v>0</v>
      </c>
      <c r="Y99" s="40">
        <f t="shared" si="114"/>
        <v>0</v>
      </c>
      <c r="Z99" s="40">
        <f t="shared" si="115"/>
        <v>0</v>
      </c>
      <c r="AA99" s="44">
        <f t="shared" si="116"/>
        <v>0</v>
      </c>
      <c r="AB99" s="35">
        <f t="shared" si="117"/>
        <v>0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0</v>
      </c>
      <c r="AD99" s="57">
        <v>0</v>
      </c>
      <c r="AE99" s="57">
        <v>0</v>
      </c>
      <c r="AF99" s="61">
        <f t="shared" si="105"/>
        <v>0</v>
      </c>
      <c r="AG99" s="40">
        <f t="shared" si="118"/>
        <v>0</v>
      </c>
      <c r="AH99" s="40">
        <f t="shared" si="119"/>
        <v>0</v>
      </c>
      <c r="AI99" s="44">
        <f t="shared" si="120"/>
        <v>0</v>
      </c>
      <c r="AJ99" s="35">
        <f t="shared" si="106"/>
        <v>0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0</v>
      </c>
      <c r="AL99" s="57">
        <v>0</v>
      </c>
      <c r="AM99" s="57">
        <v>0</v>
      </c>
      <c r="AN99" s="61">
        <f t="shared" si="107"/>
        <v>0</v>
      </c>
      <c r="AO99" s="40">
        <f t="shared" si="121"/>
        <v>0</v>
      </c>
      <c r="AP99" s="40">
        <f t="shared" si="122"/>
        <v>0</v>
      </c>
      <c r="AQ99" s="44">
        <f t="shared" si="123"/>
        <v>0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0</v>
      </c>
      <c r="G100" s="35">
        <f>SUMIFS(WORKING!$AC$3:$AC$6802,WORKING!$A$3:$A$6802,Results!$D$3,WORKING!$B$3:$B$6802,Results!A100,WORKING!$C$3:$C$6802,Results!C100)/1000</f>
        <v>2.8943300000000001</v>
      </c>
      <c r="H100" s="35">
        <f t="shared" si="108"/>
        <v>0</v>
      </c>
      <c r="I100" s="187" t="s">
        <v>754</v>
      </c>
      <c r="J100" s="212" t="s">
        <v>754</v>
      </c>
      <c r="K100" s="217" t="str">
        <f t="shared" si="109"/>
        <v/>
      </c>
      <c r="L100" s="34">
        <f t="shared" si="102"/>
        <v>0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0</v>
      </c>
      <c r="N100" s="57">
        <v>0</v>
      </c>
      <c r="O100" s="57">
        <v>0</v>
      </c>
      <c r="P100" s="61">
        <f t="shared" si="103"/>
        <v>0</v>
      </c>
      <c r="Q100" s="40">
        <f t="shared" si="110"/>
        <v>0</v>
      </c>
      <c r="R100" s="40">
        <f t="shared" si="111"/>
        <v>0</v>
      </c>
      <c r="S100" s="44">
        <f t="shared" si="112"/>
        <v>0</v>
      </c>
      <c r="T100" s="35">
        <f t="shared" si="113"/>
        <v>0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0</v>
      </c>
      <c r="V100" s="57">
        <v>0</v>
      </c>
      <c r="W100" s="57">
        <v>0</v>
      </c>
      <c r="X100" s="61">
        <f t="shared" si="104"/>
        <v>0</v>
      </c>
      <c r="Y100" s="40">
        <f t="shared" si="114"/>
        <v>0</v>
      </c>
      <c r="Z100" s="40">
        <f t="shared" si="115"/>
        <v>0</v>
      </c>
      <c r="AA100" s="44">
        <f t="shared" si="116"/>
        <v>0</v>
      </c>
      <c r="AB100" s="35">
        <f t="shared" si="117"/>
        <v>0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0</v>
      </c>
      <c r="AD100" s="57">
        <v>0</v>
      </c>
      <c r="AE100" s="57">
        <v>0</v>
      </c>
      <c r="AF100" s="61">
        <f t="shared" si="105"/>
        <v>0</v>
      </c>
      <c r="AG100" s="40">
        <f t="shared" si="118"/>
        <v>0</v>
      </c>
      <c r="AH100" s="40">
        <f t="shared" si="119"/>
        <v>0</v>
      </c>
      <c r="AI100" s="44">
        <f t="shared" si="120"/>
        <v>0</v>
      </c>
      <c r="AJ100" s="35">
        <f t="shared" si="106"/>
        <v>0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0</v>
      </c>
      <c r="AL100" s="57">
        <v>0</v>
      </c>
      <c r="AM100" s="57">
        <v>0</v>
      </c>
      <c r="AN100" s="61">
        <f t="shared" si="107"/>
        <v>0</v>
      </c>
      <c r="AO100" s="40">
        <f t="shared" si="121"/>
        <v>0</v>
      </c>
      <c r="AP100" s="40">
        <f t="shared" si="122"/>
        <v>0</v>
      </c>
      <c r="AQ100" s="44">
        <f t="shared" si="123"/>
        <v>0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6</v>
      </c>
      <c r="G101" s="35">
        <f>SUMIFS(WORKING!$AC$3:$AC$6802,WORKING!$A$3:$A$6802,Results!$D$3,WORKING!$B$3:$B$6802,Results!A101,WORKING!$C$3:$C$6802,Results!C101)/1000</f>
        <v>2820.1524199999999</v>
      </c>
      <c r="H101" s="35">
        <f t="shared" si="108"/>
        <v>470.02540333333332</v>
      </c>
      <c r="I101" s="187">
        <v>6</v>
      </c>
      <c r="J101" s="212">
        <v>3275</v>
      </c>
      <c r="K101" s="217">
        <f t="shared" si="109"/>
        <v>545.83333333333337</v>
      </c>
      <c r="L101" s="34">
        <f t="shared" si="102"/>
        <v>6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594.87938260574526</v>
      </c>
      <c r="N101" s="57">
        <v>0</v>
      </c>
      <c r="O101" s="57">
        <v>0</v>
      </c>
      <c r="P101" s="61">
        <f t="shared" si="103"/>
        <v>6</v>
      </c>
      <c r="Q101" s="40">
        <f t="shared" si="110"/>
        <v>0</v>
      </c>
      <c r="R101" s="40">
        <f t="shared" si="111"/>
        <v>0</v>
      </c>
      <c r="S101" s="44">
        <f t="shared" si="112"/>
        <v>3569.2762956344714</v>
      </c>
      <c r="T101" s="35">
        <f t="shared" si="113"/>
        <v>6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645.67857170842342</v>
      </c>
      <c r="V101" s="57">
        <v>0</v>
      </c>
      <c r="W101" s="57">
        <v>0</v>
      </c>
      <c r="X101" s="61">
        <f t="shared" si="104"/>
        <v>6</v>
      </c>
      <c r="Y101" s="40">
        <f t="shared" si="114"/>
        <v>0</v>
      </c>
      <c r="Z101" s="40">
        <f t="shared" si="115"/>
        <v>0</v>
      </c>
      <c r="AA101" s="44">
        <f t="shared" si="116"/>
        <v>3874.0714302505403</v>
      </c>
      <c r="AB101" s="35">
        <f t="shared" si="117"/>
        <v>6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700.16098275433797</v>
      </c>
      <c r="AD101" s="57">
        <v>0</v>
      </c>
      <c r="AE101" s="57">
        <v>0</v>
      </c>
      <c r="AF101" s="61">
        <f t="shared" si="105"/>
        <v>6</v>
      </c>
      <c r="AG101" s="40">
        <f t="shared" si="118"/>
        <v>0</v>
      </c>
      <c r="AH101" s="40">
        <f t="shared" si="119"/>
        <v>0</v>
      </c>
      <c r="AI101" s="44">
        <f t="shared" si="120"/>
        <v>4200.9658965260278</v>
      </c>
      <c r="AJ101" s="35">
        <f t="shared" si="106"/>
        <v>6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757.82067383037349</v>
      </c>
      <c r="AL101" s="57">
        <v>0</v>
      </c>
      <c r="AM101" s="57">
        <v>0</v>
      </c>
      <c r="AN101" s="61">
        <f t="shared" si="107"/>
        <v>6</v>
      </c>
      <c r="AO101" s="40">
        <f t="shared" si="121"/>
        <v>0</v>
      </c>
      <c r="AP101" s="40">
        <f t="shared" si="122"/>
        <v>0</v>
      </c>
      <c r="AQ101" s="44">
        <f t="shared" si="123"/>
        <v>4546.9240429822412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0</v>
      </c>
      <c r="G102" s="35">
        <f>SUMIFS(WORKING!$AC$3:$AC$6802,WORKING!$A$3:$A$6802,Results!$D$3,WORKING!$B$3:$B$6802,Results!A102,WORKING!$C$3:$C$6802,Results!C102)/1000</f>
        <v>0</v>
      </c>
      <c r="H102" s="35">
        <f t="shared" si="108"/>
        <v>0</v>
      </c>
      <c r="I102" s="187" t="s">
        <v>754</v>
      </c>
      <c r="J102" s="212" t="s">
        <v>754</v>
      </c>
      <c r="K102" s="217" t="str">
        <f t="shared" si="109"/>
        <v/>
      </c>
      <c r="L102" s="34">
        <f t="shared" si="102"/>
        <v>0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0</v>
      </c>
      <c r="N102" s="57">
        <v>0</v>
      </c>
      <c r="O102" s="57">
        <v>0</v>
      </c>
      <c r="P102" s="61">
        <f t="shared" si="103"/>
        <v>0</v>
      </c>
      <c r="Q102" s="40">
        <f t="shared" si="110"/>
        <v>0</v>
      </c>
      <c r="R102" s="40">
        <f t="shared" si="111"/>
        <v>0</v>
      </c>
      <c r="S102" s="44">
        <f t="shared" si="112"/>
        <v>0</v>
      </c>
      <c r="T102" s="35">
        <f t="shared" si="113"/>
        <v>0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0</v>
      </c>
      <c r="V102" s="57">
        <v>0</v>
      </c>
      <c r="W102" s="57">
        <v>0</v>
      </c>
      <c r="X102" s="61">
        <f t="shared" si="104"/>
        <v>0</v>
      </c>
      <c r="Y102" s="40">
        <f t="shared" si="114"/>
        <v>0</v>
      </c>
      <c r="Z102" s="40">
        <f t="shared" si="115"/>
        <v>0</v>
      </c>
      <c r="AA102" s="44">
        <f t="shared" si="116"/>
        <v>0</v>
      </c>
      <c r="AB102" s="35">
        <f t="shared" si="117"/>
        <v>0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0</v>
      </c>
      <c r="AD102" s="57">
        <v>0</v>
      </c>
      <c r="AE102" s="57">
        <v>0</v>
      </c>
      <c r="AF102" s="61">
        <f t="shared" si="105"/>
        <v>0</v>
      </c>
      <c r="AG102" s="40">
        <f t="shared" si="118"/>
        <v>0</v>
      </c>
      <c r="AH102" s="40">
        <f t="shared" si="119"/>
        <v>0</v>
      </c>
      <c r="AI102" s="44">
        <f t="shared" si="120"/>
        <v>0</v>
      </c>
      <c r="AJ102" s="35">
        <f t="shared" si="106"/>
        <v>0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0</v>
      </c>
      <c r="AL102" s="57">
        <v>0</v>
      </c>
      <c r="AM102" s="57">
        <v>0</v>
      </c>
      <c r="AN102" s="61">
        <f t="shared" si="107"/>
        <v>0</v>
      </c>
      <c r="AO102" s="40">
        <f t="shared" si="121"/>
        <v>0</v>
      </c>
      <c r="AP102" s="40">
        <f t="shared" si="122"/>
        <v>0</v>
      </c>
      <c r="AQ102" s="44">
        <f t="shared" si="123"/>
        <v>0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5</v>
      </c>
      <c r="G103" s="35">
        <f>SUMIFS(WORKING!$AC$3:$AC$6802,WORKING!$A$3:$A$6802,Results!$D$3,WORKING!$B$3:$B$6802,Results!A103,WORKING!$C$3:$C$6802,Results!C103)/1000</f>
        <v>4217.3282000000008</v>
      </c>
      <c r="H103" s="35">
        <f t="shared" si="108"/>
        <v>843.46564000000012</v>
      </c>
      <c r="I103" s="187">
        <v>5</v>
      </c>
      <c r="J103" s="212">
        <v>3631</v>
      </c>
      <c r="K103" s="217">
        <f t="shared" si="109"/>
        <v>726.2</v>
      </c>
      <c r="L103" s="34">
        <f t="shared" si="102"/>
        <v>5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792.91932803145619</v>
      </c>
      <c r="N103" s="57">
        <v>1</v>
      </c>
      <c r="O103" s="57">
        <v>0</v>
      </c>
      <c r="P103" s="61">
        <f t="shared" si="103"/>
        <v>6</v>
      </c>
      <c r="Q103" s="40">
        <f t="shared" si="110"/>
        <v>792.91932803145619</v>
      </c>
      <c r="R103" s="40">
        <f t="shared" si="111"/>
        <v>0</v>
      </c>
      <c r="S103" s="44">
        <f t="shared" si="112"/>
        <v>4757.5159681887371</v>
      </c>
      <c r="T103" s="35">
        <f t="shared" si="113"/>
        <v>6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860.94076183538516</v>
      </c>
      <c r="V103" s="57">
        <v>0</v>
      </c>
      <c r="W103" s="57">
        <v>0</v>
      </c>
      <c r="X103" s="61">
        <f t="shared" si="104"/>
        <v>6</v>
      </c>
      <c r="Y103" s="40">
        <f t="shared" si="114"/>
        <v>0</v>
      </c>
      <c r="Z103" s="40">
        <f t="shared" si="115"/>
        <v>0</v>
      </c>
      <c r="AA103" s="44">
        <f t="shared" si="116"/>
        <v>5165.6445710123107</v>
      </c>
      <c r="AB103" s="35">
        <f t="shared" si="117"/>
        <v>6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933.92384468050341</v>
      </c>
      <c r="AD103" s="57">
        <v>0</v>
      </c>
      <c r="AE103" s="57">
        <v>0</v>
      </c>
      <c r="AF103" s="61">
        <f t="shared" si="105"/>
        <v>6</v>
      </c>
      <c r="AG103" s="40">
        <f t="shared" si="118"/>
        <v>0</v>
      </c>
      <c r="AH103" s="40">
        <f t="shared" si="119"/>
        <v>0</v>
      </c>
      <c r="AI103" s="44">
        <f t="shared" si="120"/>
        <v>5603.5430680830204</v>
      </c>
      <c r="AJ103" s="35">
        <f t="shared" si="106"/>
        <v>6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1011.1983949518653</v>
      </c>
      <c r="AL103" s="57">
        <v>0</v>
      </c>
      <c r="AM103" s="57">
        <v>0</v>
      </c>
      <c r="AN103" s="61">
        <f t="shared" si="107"/>
        <v>6</v>
      </c>
      <c r="AO103" s="40">
        <f t="shared" si="121"/>
        <v>0</v>
      </c>
      <c r="AP103" s="40">
        <f t="shared" si="122"/>
        <v>0</v>
      </c>
      <c r="AQ103" s="44">
        <f t="shared" si="123"/>
        <v>6067.190369711192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5</v>
      </c>
      <c r="G104" s="35">
        <f>SUMIFS(WORKING!$AC$3:$AC$6802,WORKING!$A$3:$A$6802,Results!$D$3,WORKING!$B$3:$B$6802,Results!A104,WORKING!$C$3:$C$6802,Results!C104)/1000</f>
        <v>4525.2054700000008</v>
      </c>
      <c r="H104" s="35">
        <f t="shared" si="108"/>
        <v>905.04109400000016</v>
      </c>
      <c r="I104" s="187">
        <v>5</v>
      </c>
      <c r="J104" s="212">
        <v>4620</v>
      </c>
      <c r="K104" s="217">
        <f t="shared" si="109"/>
        <v>924</v>
      </c>
      <c r="L104" s="34">
        <f t="shared" si="102"/>
        <v>5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968.20990618343569</v>
      </c>
      <c r="N104" s="57">
        <v>0</v>
      </c>
      <c r="O104" s="57">
        <v>0</v>
      </c>
      <c r="P104" s="61">
        <f t="shared" si="103"/>
        <v>5</v>
      </c>
      <c r="Q104" s="40">
        <f t="shared" si="110"/>
        <v>0</v>
      </c>
      <c r="R104" s="40">
        <f t="shared" si="111"/>
        <v>0</v>
      </c>
      <c r="S104" s="44">
        <f t="shared" si="112"/>
        <v>4841.0495309171783</v>
      </c>
      <c r="T104" s="35">
        <f t="shared" si="113"/>
        <v>5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1041.0524632764252</v>
      </c>
      <c r="V104" s="57">
        <v>0</v>
      </c>
      <c r="W104" s="57">
        <v>0</v>
      </c>
      <c r="X104" s="61">
        <f t="shared" si="104"/>
        <v>5</v>
      </c>
      <c r="Y104" s="40">
        <f t="shared" si="114"/>
        <v>0</v>
      </c>
      <c r="Z104" s="40">
        <f t="shared" si="115"/>
        <v>0</v>
      </c>
      <c r="AA104" s="44">
        <f t="shared" si="116"/>
        <v>5205.2623163821263</v>
      </c>
      <c r="AB104" s="35">
        <f t="shared" si="117"/>
        <v>5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1118.3192619332121</v>
      </c>
      <c r="AD104" s="57">
        <v>0</v>
      </c>
      <c r="AE104" s="57">
        <v>0</v>
      </c>
      <c r="AF104" s="61">
        <f t="shared" si="105"/>
        <v>5</v>
      </c>
      <c r="AG104" s="40">
        <f t="shared" si="118"/>
        <v>0</v>
      </c>
      <c r="AH104" s="40">
        <f t="shared" si="119"/>
        <v>0</v>
      </c>
      <c r="AI104" s="44">
        <f t="shared" si="120"/>
        <v>5591.5963096660607</v>
      </c>
      <c r="AJ104" s="35">
        <f t="shared" si="106"/>
        <v>5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1199.0520104696686</v>
      </c>
      <c r="AL104" s="57">
        <v>0</v>
      </c>
      <c r="AM104" s="57">
        <v>0</v>
      </c>
      <c r="AN104" s="61">
        <f t="shared" si="107"/>
        <v>5</v>
      </c>
      <c r="AO104" s="40">
        <f t="shared" si="121"/>
        <v>0</v>
      </c>
      <c r="AP104" s="40">
        <f t="shared" si="122"/>
        <v>0</v>
      </c>
      <c r="AQ104" s="44">
        <f t="shared" si="123"/>
        <v>5995.2600523483434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1</v>
      </c>
      <c r="G105" s="35">
        <f>SUMIFS(WORKING!$AC$3:$AC$6802,WORKING!$A$3:$A$6802,Results!$D$3,WORKING!$B$3:$B$6802,Results!A105,WORKING!$C$3:$C$6802,Results!C105)/1000</f>
        <v>504.72634000000011</v>
      </c>
      <c r="H105" s="35">
        <f t="shared" si="108"/>
        <v>504.72634000000011</v>
      </c>
      <c r="I105" s="187">
        <v>1</v>
      </c>
      <c r="J105" s="212">
        <v>1090</v>
      </c>
      <c r="K105" s="217">
        <f t="shared" si="109"/>
        <v>1090</v>
      </c>
      <c r="L105" s="34">
        <f t="shared" si="102"/>
        <v>1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1142.8585745597593</v>
      </c>
      <c r="N105" s="57">
        <v>0</v>
      </c>
      <c r="O105" s="57">
        <v>0</v>
      </c>
      <c r="P105" s="61">
        <f t="shared" si="103"/>
        <v>1</v>
      </c>
      <c r="Q105" s="40">
        <f t="shared" si="110"/>
        <v>0</v>
      </c>
      <c r="R105" s="40">
        <f t="shared" si="111"/>
        <v>0</v>
      </c>
      <c r="S105" s="44">
        <f t="shared" si="112"/>
        <v>1142.8585745597593</v>
      </c>
      <c r="T105" s="35">
        <f t="shared" si="113"/>
        <v>1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1229.6004908935861</v>
      </c>
      <c r="V105" s="57">
        <v>0</v>
      </c>
      <c r="W105" s="57">
        <v>0</v>
      </c>
      <c r="X105" s="61">
        <f t="shared" si="104"/>
        <v>1</v>
      </c>
      <c r="Y105" s="40">
        <f t="shared" si="114"/>
        <v>0</v>
      </c>
      <c r="Z105" s="40">
        <f t="shared" si="115"/>
        <v>0</v>
      </c>
      <c r="AA105" s="44">
        <f t="shared" si="116"/>
        <v>1229.6004908935861</v>
      </c>
      <c r="AB105" s="35">
        <f t="shared" si="117"/>
        <v>1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1321.6779955899012</v>
      </c>
      <c r="AD105" s="57">
        <v>0</v>
      </c>
      <c r="AE105" s="57">
        <v>0</v>
      </c>
      <c r="AF105" s="61">
        <f t="shared" si="105"/>
        <v>1</v>
      </c>
      <c r="AG105" s="40">
        <f t="shared" si="118"/>
        <v>0</v>
      </c>
      <c r="AH105" s="40">
        <f t="shared" si="119"/>
        <v>0</v>
      </c>
      <c r="AI105" s="44">
        <f t="shared" si="120"/>
        <v>1321.6779955899012</v>
      </c>
      <c r="AJ105" s="35">
        <f t="shared" si="106"/>
        <v>1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1417.9676357102642</v>
      </c>
      <c r="AL105" s="57">
        <v>0</v>
      </c>
      <c r="AM105" s="57">
        <v>0</v>
      </c>
      <c r="AN105" s="61">
        <f t="shared" si="107"/>
        <v>1</v>
      </c>
      <c r="AO105" s="40">
        <f t="shared" si="121"/>
        <v>0</v>
      </c>
      <c r="AP105" s="40">
        <f t="shared" si="122"/>
        <v>0</v>
      </c>
      <c r="AQ105" s="44">
        <f t="shared" si="123"/>
        <v>1417.9676357102642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0</v>
      </c>
      <c r="G106" s="35">
        <f>SUMIFS(WORKING!$AC$3:$AC$6802,WORKING!$A$3:$A$6802,Results!$D$3,WORKING!$B$3:$B$6802,Results!A106,WORKING!$C$3:$C$6802,Results!C106)/1000</f>
        <v>0</v>
      </c>
      <c r="H106" s="35">
        <f t="shared" si="108"/>
        <v>0</v>
      </c>
      <c r="I106" s="187" t="s">
        <v>754</v>
      </c>
      <c r="J106" s="212" t="s">
        <v>754</v>
      </c>
      <c r="K106" s="217" t="str">
        <f t="shared" si="109"/>
        <v/>
      </c>
      <c r="L106" s="34">
        <f t="shared" si="102"/>
        <v>0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0</v>
      </c>
      <c r="N106" s="57">
        <v>0</v>
      </c>
      <c r="O106" s="57">
        <v>0</v>
      </c>
      <c r="P106" s="61">
        <f t="shared" si="103"/>
        <v>0</v>
      </c>
      <c r="Q106" s="40">
        <f t="shared" si="110"/>
        <v>0</v>
      </c>
      <c r="R106" s="40">
        <f t="shared" si="111"/>
        <v>0</v>
      </c>
      <c r="S106" s="44">
        <f t="shared" si="112"/>
        <v>0</v>
      </c>
      <c r="T106" s="35">
        <f t="shared" si="113"/>
        <v>0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0</v>
      </c>
      <c r="V106" s="57">
        <v>0</v>
      </c>
      <c r="W106" s="57">
        <v>0</v>
      </c>
      <c r="X106" s="61">
        <f t="shared" si="104"/>
        <v>0</v>
      </c>
      <c r="Y106" s="40">
        <f t="shared" si="114"/>
        <v>0</v>
      </c>
      <c r="Z106" s="40">
        <f t="shared" si="115"/>
        <v>0</v>
      </c>
      <c r="AA106" s="44">
        <f t="shared" si="116"/>
        <v>0</v>
      </c>
      <c r="AB106" s="35">
        <f t="shared" si="117"/>
        <v>0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0</v>
      </c>
      <c r="AD106" s="57">
        <v>0</v>
      </c>
      <c r="AE106" s="57">
        <v>0</v>
      </c>
      <c r="AF106" s="61">
        <f t="shared" si="105"/>
        <v>0</v>
      </c>
      <c r="AG106" s="40">
        <f t="shared" si="118"/>
        <v>0</v>
      </c>
      <c r="AH106" s="40">
        <f t="shared" si="119"/>
        <v>0</v>
      </c>
      <c r="AI106" s="44">
        <f t="shared" si="120"/>
        <v>0</v>
      </c>
      <c r="AJ106" s="35">
        <f t="shared" si="106"/>
        <v>0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0</v>
      </c>
      <c r="AL106" s="57">
        <v>0</v>
      </c>
      <c r="AM106" s="57">
        <v>0</v>
      </c>
      <c r="AN106" s="61">
        <f t="shared" si="107"/>
        <v>0</v>
      </c>
      <c r="AO106" s="40">
        <f t="shared" si="121"/>
        <v>0</v>
      </c>
      <c r="AP106" s="40">
        <f t="shared" si="122"/>
        <v>0</v>
      </c>
      <c r="AQ106" s="44">
        <f t="shared" si="123"/>
        <v>0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20</v>
      </c>
      <c r="G112" s="41">
        <f>SUM(G92:G111)</f>
        <v>12745.924270000001</v>
      </c>
      <c r="H112" s="41">
        <f>IFERROR(G112/F112,0)</f>
        <v>637.29621350000002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20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13381.894329999999</v>
      </c>
      <c r="K112" s="41">
        <f>IFERROR(J112/I112,"")</f>
        <v>669.0947165</v>
      </c>
      <c r="L112" s="41">
        <f>SUM(L92:L111)</f>
        <v>20</v>
      </c>
      <c r="M112" s="41">
        <f>IFERROR(S112/P112,0)</f>
        <v>721.00644680366327</v>
      </c>
      <c r="N112" s="41">
        <f t="shared" ref="N112:T112" si="124">SUM(N92:N111)</f>
        <v>1</v>
      </c>
      <c r="O112" s="41">
        <f t="shared" si="124"/>
        <v>0</v>
      </c>
      <c r="P112" s="41">
        <f t="shared" si="124"/>
        <v>21</v>
      </c>
      <c r="Q112" s="41">
        <f t="shared" si="124"/>
        <v>792.91932803145619</v>
      </c>
      <c r="R112" s="41">
        <f t="shared" si="124"/>
        <v>0</v>
      </c>
      <c r="S112" s="45">
        <f t="shared" si="124"/>
        <v>15141.135382876928</v>
      </c>
      <c r="T112" s="41">
        <f t="shared" si="124"/>
        <v>21</v>
      </c>
      <c r="U112" s="41">
        <f>IFERROR(AA112/X112,0)</f>
        <v>779.78992181460217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21</v>
      </c>
      <c r="Y112" s="41">
        <f t="shared" si="125"/>
        <v>0</v>
      </c>
      <c r="Z112" s="41">
        <f t="shared" si="125"/>
        <v>0</v>
      </c>
      <c r="AA112" s="45">
        <f t="shared" si="125"/>
        <v>16375.588358106645</v>
      </c>
      <c r="AB112" s="41">
        <f t="shared" si="125"/>
        <v>21</v>
      </c>
      <c r="AC112" s="41">
        <f>IFERROR(AI112/AF112,0)</f>
        <v>842.59292632514132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21</v>
      </c>
      <c r="AG112" s="41">
        <f t="shared" si="126"/>
        <v>0</v>
      </c>
      <c r="AH112" s="41">
        <f t="shared" si="126"/>
        <v>0</v>
      </c>
      <c r="AI112" s="45">
        <f t="shared" si="126"/>
        <v>17694.451452827969</v>
      </c>
      <c r="AJ112" s="41">
        <f t="shared" si="126"/>
        <v>21</v>
      </c>
      <c r="AK112" s="41">
        <f>IFERROR(AQ112/AN112,0)</f>
        <v>908.76386586639342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21</v>
      </c>
      <c r="AO112" s="41">
        <f t="shared" si="127"/>
        <v>0</v>
      </c>
      <c r="AP112" s="41">
        <f t="shared" si="127"/>
        <v>0</v>
      </c>
      <c r="AQ112" s="45">
        <f t="shared" si="127"/>
        <v>19084.041183194262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15402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17410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19103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20554.828000000001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260.86461712307209</v>
      </c>
      <c r="T114" s="39"/>
      <c r="U114" s="39"/>
      <c r="V114" s="53"/>
      <c r="W114" s="53"/>
      <c r="X114" s="110"/>
      <c r="Y114" s="39"/>
      <c r="Z114" s="39"/>
      <c r="AA114" s="54">
        <f>AA113-AA112</f>
        <v>1034.4116418933554</v>
      </c>
      <c r="AB114" s="39"/>
      <c r="AC114" s="53"/>
      <c r="AD114" s="53"/>
      <c r="AE114" s="110"/>
      <c r="AF114" s="39"/>
      <c r="AG114" s="39"/>
      <c r="AH114" s="39"/>
      <c r="AI114" s="54">
        <f>AI113-AI112</f>
        <v>1408.5485471720312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1470.7868168057394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Legislation and Policy Development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 t="s">
        <v>754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1</v>
      </c>
      <c r="G121" s="35">
        <f>SUMIFS(WORKING!$AC$3:$AC$6802,WORKING!$A$3:$A$6802,Results!$D$3,WORKING!$B$3:$B$6802,Results!A121,WORKING!$C$3:$C$6802,Results!C121)/1000</f>
        <v>44.6432</v>
      </c>
      <c r="H121" s="35">
        <f t="shared" ref="H121:H139" si="134">IFERROR(G121/F121,0)</f>
        <v>44.6432</v>
      </c>
      <c r="I121" s="187">
        <v>1</v>
      </c>
      <c r="J121" s="212">
        <v>115</v>
      </c>
      <c r="K121" s="217">
        <f t="shared" ref="K121:K139" si="135">IFERROR(IF(J121="",G121,J121)/IF(I121="",F121,I121),"")</f>
        <v>115</v>
      </c>
      <c r="L121" s="34">
        <f t="shared" si="128"/>
        <v>1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125.5948880502518</v>
      </c>
      <c r="N121" s="57">
        <v>0</v>
      </c>
      <c r="O121" s="57">
        <v>0</v>
      </c>
      <c r="P121" s="61">
        <f t="shared" si="129"/>
        <v>1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125.5948880502518</v>
      </c>
      <c r="T121" s="35">
        <f t="shared" ref="T121:T139" si="139">P121</f>
        <v>1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136.40101194165305</v>
      </c>
      <c r="V121" s="57">
        <v>0</v>
      </c>
      <c r="W121" s="57">
        <v>0</v>
      </c>
      <c r="X121" s="61">
        <f t="shared" si="130"/>
        <v>1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136.40101194165305</v>
      </c>
      <c r="AB121" s="35">
        <f t="shared" ref="AB121:AB139" si="143">X121</f>
        <v>1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147.99844385534934</v>
      </c>
      <c r="AD121" s="57">
        <v>0</v>
      </c>
      <c r="AE121" s="57">
        <v>0</v>
      </c>
      <c r="AF121" s="61">
        <f t="shared" si="131"/>
        <v>1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147.99844385534934</v>
      </c>
      <c r="AJ121" s="35">
        <f t="shared" si="132"/>
        <v>1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160.28150802323327</v>
      </c>
      <c r="AL121" s="57">
        <v>0</v>
      </c>
      <c r="AM121" s="57">
        <v>0</v>
      </c>
      <c r="AN121" s="61">
        <f t="shared" si="133"/>
        <v>1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160.28150802323327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 t="s">
        <v>754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1</v>
      </c>
      <c r="G123" s="35">
        <f>SUMIFS(WORKING!$AC$3:$AC$6802,WORKING!$A$3:$A$6802,Results!$D$3,WORKING!$B$3:$B$6802,Results!A123,WORKING!$C$3:$C$6802,Results!C123)/1000</f>
        <v>63.242650000000005</v>
      </c>
      <c r="H123" s="35">
        <f t="shared" si="134"/>
        <v>63.242650000000005</v>
      </c>
      <c r="I123" s="187">
        <v>1</v>
      </c>
      <c r="J123" s="212">
        <v>163</v>
      </c>
      <c r="K123" s="217">
        <f t="shared" si="135"/>
        <v>163</v>
      </c>
      <c r="L123" s="34">
        <f t="shared" si="128"/>
        <v>1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178.01760739421894</v>
      </c>
      <c r="N123" s="57">
        <v>0</v>
      </c>
      <c r="O123" s="57">
        <v>0</v>
      </c>
      <c r="P123" s="61">
        <f t="shared" si="129"/>
        <v>1</v>
      </c>
      <c r="Q123" s="40">
        <f t="shared" si="136"/>
        <v>0</v>
      </c>
      <c r="R123" s="40">
        <f t="shared" si="137"/>
        <v>0</v>
      </c>
      <c r="S123" s="44">
        <f t="shared" si="138"/>
        <v>178.01760739421894</v>
      </c>
      <c r="T123" s="35">
        <f t="shared" si="139"/>
        <v>1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193.33470556895361</v>
      </c>
      <c r="V123" s="57">
        <v>0</v>
      </c>
      <c r="W123" s="57">
        <v>0</v>
      </c>
      <c r="X123" s="61">
        <f t="shared" si="130"/>
        <v>1</v>
      </c>
      <c r="Y123" s="40">
        <f t="shared" si="140"/>
        <v>0</v>
      </c>
      <c r="Z123" s="40">
        <f t="shared" si="141"/>
        <v>0</v>
      </c>
      <c r="AA123" s="44">
        <f t="shared" si="142"/>
        <v>193.33470556895361</v>
      </c>
      <c r="AB123" s="35">
        <f t="shared" si="143"/>
        <v>1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209.7734933390814</v>
      </c>
      <c r="AD123" s="57">
        <v>0</v>
      </c>
      <c r="AE123" s="57">
        <v>0</v>
      </c>
      <c r="AF123" s="61">
        <f t="shared" si="131"/>
        <v>1</v>
      </c>
      <c r="AG123" s="40">
        <f t="shared" si="144"/>
        <v>0</v>
      </c>
      <c r="AH123" s="40">
        <f t="shared" si="145"/>
        <v>0</v>
      </c>
      <c r="AI123" s="44">
        <f t="shared" si="146"/>
        <v>209.7734933390814</v>
      </c>
      <c r="AJ123" s="35">
        <f t="shared" si="132"/>
        <v>1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227.18419463897226</v>
      </c>
      <c r="AL123" s="57">
        <v>0</v>
      </c>
      <c r="AM123" s="57">
        <v>0</v>
      </c>
      <c r="AN123" s="61">
        <f t="shared" si="133"/>
        <v>1</v>
      </c>
      <c r="AO123" s="40">
        <f t="shared" si="147"/>
        <v>0</v>
      </c>
      <c r="AP123" s="40">
        <f t="shared" si="148"/>
        <v>0</v>
      </c>
      <c r="AQ123" s="44">
        <f t="shared" si="149"/>
        <v>227.18419463897226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0</v>
      </c>
      <c r="H124" s="35">
        <f t="shared" si="134"/>
        <v>0</v>
      </c>
      <c r="I124" s="187" t="s">
        <v>754</v>
      </c>
      <c r="J124" s="212" t="s">
        <v>754</v>
      </c>
      <c r="K124" s="217" t="str">
        <f t="shared" si="135"/>
        <v/>
      </c>
      <c r="L124" s="34">
        <f t="shared" si="128"/>
        <v>0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0</v>
      </c>
      <c r="N124" s="57">
        <v>0</v>
      </c>
      <c r="O124" s="57">
        <v>0</v>
      </c>
      <c r="P124" s="61">
        <f t="shared" si="129"/>
        <v>0</v>
      </c>
      <c r="Q124" s="40">
        <f t="shared" si="136"/>
        <v>0</v>
      </c>
      <c r="R124" s="40">
        <f t="shared" si="137"/>
        <v>0</v>
      </c>
      <c r="S124" s="44">
        <f t="shared" si="138"/>
        <v>0</v>
      </c>
      <c r="T124" s="35">
        <f t="shared" si="139"/>
        <v>0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0</v>
      </c>
      <c r="V124" s="57">
        <v>0</v>
      </c>
      <c r="W124" s="57">
        <v>0</v>
      </c>
      <c r="X124" s="61">
        <f t="shared" si="130"/>
        <v>0</v>
      </c>
      <c r="Y124" s="40">
        <f t="shared" si="140"/>
        <v>0</v>
      </c>
      <c r="Z124" s="40">
        <f t="shared" si="141"/>
        <v>0</v>
      </c>
      <c r="AA124" s="44">
        <f t="shared" si="142"/>
        <v>0</v>
      </c>
      <c r="AB124" s="35">
        <f t="shared" si="143"/>
        <v>0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0</v>
      </c>
      <c r="AD124" s="57">
        <v>0</v>
      </c>
      <c r="AE124" s="57">
        <v>0</v>
      </c>
      <c r="AF124" s="61">
        <f t="shared" si="131"/>
        <v>0</v>
      </c>
      <c r="AG124" s="40">
        <f t="shared" si="144"/>
        <v>0</v>
      </c>
      <c r="AH124" s="40">
        <f t="shared" si="145"/>
        <v>0</v>
      </c>
      <c r="AI124" s="44">
        <f t="shared" si="146"/>
        <v>0</v>
      </c>
      <c r="AJ124" s="35">
        <f t="shared" si="132"/>
        <v>0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0</v>
      </c>
      <c r="AL124" s="57">
        <v>0</v>
      </c>
      <c r="AM124" s="57">
        <v>0</v>
      </c>
      <c r="AN124" s="61">
        <f t="shared" si="133"/>
        <v>0</v>
      </c>
      <c r="AO124" s="40">
        <f t="shared" si="147"/>
        <v>0</v>
      </c>
      <c r="AP124" s="40">
        <f t="shared" si="148"/>
        <v>0</v>
      </c>
      <c r="AQ124" s="44">
        <f t="shared" si="149"/>
        <v>0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1</v>
      </c>
      <c r="G125" s="35">
        <f>SUMIFS(WORKING!$AC$3:$AC$6802,WORKING!$A$3:$A$6802,Results!$D$3,WORKING!$B$3:$B$6802,Results!A125,WORKING!$C$3:$C$6802,Results!C125)/1000</f>
        <v>229.70862</v>
      </c>
      <c r="H125" s="35">
        <f t="shared" si="134"/>
        <v>229.70862</v>
      </c>
      <c r="I125" s="187">
        <v>1</v>
      </c>
      <c r="J125" s="212">
        <v>241</v>
      </c>
      <c r="K125" s="217">
        <f t="shared" si="135"/>
        <v>241</v>
      </c>
      <c r="L125" s="34">
        <f t="shared" si="128"/>
        <v>1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261.8484253481588</v>
      </c>
      <c r="N125" s="57">
        <v>0</v>
      </c>
      <c r="O125" s="57">
        <v>0</v>
      </c>
      <c r="P125" s="61">
        <f t="shared" si="129"/>
        <v>1</v>
      </c>
      <c r="Q125" s="40">
        <f t="shared" si="136"/>
        <v>0</v>
      </c>
      <c r="R125" s="40">
        <f t="shared" si="137"/>
        <v>0</v>
      </c>
      <c r="S125" s="44">
        <f t="shared" si="138"/>
        <v>261.8484253481588</v>
      </c>
      <c r="T125" s="35">
        <f t="shared" si="139"/>
        <v>1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283.95868251672101</v>
      </c>
      <c r="V125" s="57">
        <v>0</v>
      </c>
      <c r="W125" s="57">
        <v>0</v>
      </c>
      <c r="X125" s="61">
        <f t="shared" si="130"/>
        <v>1</v>
      </c>
      <c r="Y125" s="40">
        <f t="shared" si="140"/>
        <v>0</v>
      </c>
      <c r="Z125" s="40">
        <f t="shared" si="141"/>
        <v>0</v>
      </c>
      <c r="AA125" s="44">
        <f t="shared" si="142"/>
        <v>283.95868251672101</v>
      </c>
      <c r="AB125" s="35">
        <f t="shared" si="143"/>
        <v>1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307.64827985348012</v>
      </c>
      <c r="AD125" s="57">
        <v>0</v>
      </c>
      <c r="AE125" s="57">
        <v>0</v>
      </c>
      <c r="AF125" s="61">
        <f t="shared" si="131"/>
        <v>1</v>
      </c>
      <c r="AG125" s="40">
        <f t="shared" si="144"/>
        <v>0</v>
      </c>
      <c r="AH125" s="40">
        <f t="shared" si="145"/>
        <v>0</v>
      </c>
      <c r="AI125" s="44">
        <f t="shared" si="146"/>
        <v>307.64827985348012</v>
      </c>
      <c r="AJ125" s="35">
        <f t="shared" si="132"/>
        <v>1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332.69095654245723</v>
      </c>
      <c r="AL125" s="57">
        <v>0</v>
      </c>
      <c r="AM125" s="57">
        <v>0</v>
      </c>
      <c r="AN125" s="61">
        <f t="shared" si="133"/>
        <v>1</v>
      </c>
      <c r="AO125" s="40">
        <f t="shared" si="147"/>
        <v>0</v>
      </c>
      <c r="AP125" s="40">
        <f t="shared" si="148"/>
        <v>0</v>
      </c>
      <c r="AQ125" s="44">
        <f t="shared" si="149"/>
        <v>332.69095654245723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2</v>
      </c>
      <c r="G126" s="35">
        <f>SUMIFS(WORKING!$AC$3:$AC$6802,WORKING!$A$3:$A$6802,Results!$D$3,WORKING!$B$3:$B$6802,Results!A126,WORKING!$C$3:$C$6802,Results!C126)/1000</f>
        <v>622.32805999999994</v>
      </c>
      <c r="H126" s="35">
        <f t="shared" si="134"/>
        <v>311.16402999999997</v>
      </c>
      <c r="I126" s="187">
        <v>2</v>
      </c>
      <c r="J126" s="212">
        <v>579</v>
      </c>
      <c r="K126" s="217">
        <f t="shared" si="135"/>
        <v>289.5</v>
      </c>
      <c r="L126" s="34">
        <f t="shared" si="128"/>
        <v>2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315.13276980374781</v>
      </c>
      <c r="N126" s="57">
        <v>1</v>
      </c>
      <c r="O126" s="57">
        <v>0</v>
      </c>
      <c r="P126" s="61">
        <f t="shared" si="129"/>
        <v>3</v>
      </c>
      <c r="Q126" s="40">
        <f t="shared" si="136"/>
        <v>315.13276980374781</v>
      </c>
      <c r="R126" s="40">
        <f t="shared" si="137"/>
        <v>0</v>
      </c>
      <c r="S126" s="44">
        <f t="shared" si="138"/>
        <v>945.39830941124342</v>
      </c>
      <c r="T126" s="35">
        <f t="shared" si="139"/>
        <v>3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341.92596508720129</v>
      </c>
      <c r="V126" s="57">
        <v>0</v>
      </c>
      <c r="W126" s="57">
        <v>0</v>
      </c>
      <c r="X126" s="61">
        <f t="shared" si="130"/>
        <v>3</v>
      </c>
      <c r="Y126" s="40">
        <f t="shared" si="140"/>
        <v>0</v>
      </c>
      <c r="Z126" s="40">
        <f t="shared" si="141"/>
        <v>0</v>
      </c>
      <c r="AA126" s="44">
        <f t="shared" si="142"/>
        <v>1025.7778952616038</v>
      </c>
      <c r="AB126" s="35">
        <f t="shared" si="143"/>
        <v>3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370.65054701660097</v>
      </c>
      <c r="AD126" s="57">
        <v>0</v>
      </c>
      <c r="AE126" s="57">
        <v>0</v>
      </c>
      <c r="AF126" s="61">
        <f t="shared" si="131"/>
        <v>3</v>
      </c>
      <c r="AG126" s="40">
        <f t="shared" si="144"/>
        <v>0</v>
      </c>
      <c r="AH126" s="40">
        <f t="shared" si="145"/>
        <v>0</v>
      </c>
      <c r="AI126" s="44">
        <f t="shared" si="146"/>
        <v>1111.9516410498029</v>
      </c>
      <c r="AJ126" s="35">
        <f t="shared" si="132"/>
        <v>3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401.03674599067989</v>
      </c>
      <c r="AL126" s="57">
        <v>0</v>
      </c>
      <c r="AM126" s="57">
        <v>0</v>
      </c>
      <c r="AN126" s="61">
        <f t="shared" si="133"/>
        <v>3</v>
      </c>
      <c r="AO126" s="40">
        <f t="shared" si="147"/>
        <v>0</v>
      </c>
      <c r="AP126" s="40">
        <f t="shared" si="148"/>
        <v>0</v>
      </c>
      <c r="AQ126" s="44">
        <f t="shared" si="149"/>
        <v>1203.1102379720396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1</v>
      </c>
      <c r="G127" s="35">
        <f>SUMIFS(WORKING!$AC$3:$AC$6802,WORKING!$A$3:$A$6802,Results!$D$3,WORKING!$B$3:$B$6802,Results!A127,WORKING!$C$3:$C$6802,Results!C127)/1000</f>
        <v>301.13045</v>
      </c>
      <c r="H127" s="35">
        <f t="shared" si="134"/>
        <v>301.13045</v>
      </c>
      <c r="I127" s="187">
        <v>1</v>
      </c>
      <c r="J127" s="212">
        <v>359</v>
      </c>
      <c r="K127" s="217">
        <f t="shared" si="135"/>
        <v>359</v>
      </c>
      <c r="L127" s="34">
        <f t="shared" si="128"/>
        <v>1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390.64101038405693</v>
      </c>
      <c r="N127" s="57">
        <v>0</v>
      </c>
      <c r="O127" s="57">
        <v>0</v>
      </c>
      <c r="P127" s="61">
        <f t="shared" si="129"/>
        <v>1</v>
      </c>
      <c r="Q127" s="40">
        <f t="shared" si="136"/>
        <v>0</v>
      </c>
      <c r="R127" s="40">
        <f t="shared" si="137"/>
        <v>0</v>
      </c>
      <c r="S127" s="44">
        <f t="shared" si="138"/>
        <v>390.64101038405693</v>
      </c>
      <c r="T127" s="35">
        <f t="shared" si="139"/>
        <v>1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423.80911294815036</v>
      </c>
      <c r="V127" s="57">
        <v>0</v>
      </c>
      <c r="W127" s="57">
        <v>0</v>
      </c>
      <c r="X127" s="61">
        <f t="shared" si="130"/>
        <v>1</v>
      </c>
      <c r="Y127" s="40">
        <f t="shared" si="140"/>
        <v>0</v>
      </c>
      <c r="Z127" s="40">
        <f t="shared" si="141"/>
        <v>0</v>
      </c>
      <c r="AA127" s="44">
        <f t="shared" si="142"/>
        <v>423.80911294815036</v>
      </c>
      <c r="AB127" s="35">
        <f t="shared" si="143"/>
        <v>1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459.36384700961742</v>
      </c>
      <c r="AD127" s="57">
        <v>0</v>
      </c>
      <c r="AE127" s="57">
        <v>0</v>
      </c>
      <c r="AF127" s="61">
        <f t="shared" si="131"/>
        <v>1</v>
      </c>
      <c r="AG127" s="40">
        <f t="shared" si="144"/>
        <v>0</v>
      </c>
      <c r="AH127" s="40">
        <f t="shared" si="145"/>
        <v>0</v>
      </c>
      <c r="AI127" s="44">
        <f t="shared" si="146"/>
        <v>459.36384700961742</v>
      </c>
      <c r="AJ127" s="35">
        <f t="shared" si="132"/>
        <v>1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496.97017232906188</v>
      </c>
      <c r="AL127" s="57">
        <v>0</v>
      </c>
      <c r="AM127" s="57">
        <v>0</v>
      </c>
      <c r="AN127" s="61">
        <f t="shared" si="133"/>
        <v>1</v>
      </c>
      <c r="AO127" s="40">
        <f t="shared" si="147"/>
        <v>0</v>
      </c>
      <c r="AP127" s="40">
        <f t="shared" si="148"/>
        <v>0</v>
      </c>
      <c r="AQ127" s="44">
        <f t="shared" si="149"/>
        <v>496.97017232906188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0</v>
      </c>
      <c r="G128" s="35">
        <f>SUMIFS(WORKING!$AC$3:$AC$6802,WORKING!$A$3:$A$6802,Results!$D$3,WORKING!$B$3:$B$6802,Results!A128,WORKING!$C$3:$C$6802,Results!C128)/1000</f>
        <v>0</v>
      </c>
      <c r="H128" s="35">
        <f t="shared" si="134"/>
        <v>0</v>
      </c>
      <c r="I128" s="187" t="s">
        <v>754</v>
      </c>
      <c r="J128" s="212" t="s">
        <v>754</v>
      </c>
      <c r="K128" s="217" t="str">
        <f t="shared" si="135"/>
        <v/>
      </c>
      <c r="L128" s="34">
        <f t="shared" si="128"/>
        <v>0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0</v>
      </c>
      <c r="N128" s="57">
        <v>0</v>
      </c>
      <c r="O128" s="57">
        <v>0</v>
      </c>
      <c r="P128" s="61">
        <f t="shared" si="129"/>
        <v>0</v>
      </c>
      <c r="Q128" s="40">
        <f t="shared" si="136"/>
        <v>0</v>
      </c>
      <c r="R128" s="40">
        <f t="shared" si="137"/>
        <v>0</v>
      </c>
      <c r="S128" s="44">
        <f t="shared" si="138"/>
        <v>0</v>
      </c>
      <c r="T128" s="35">
        <f t="shared" si="139"/>
        <v>0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0</v>
      </c>
      <c r="V128" s="57">
        <v>0</v>
      </c>
      <c r="W128" s="57">
        <v>0</v>
      </c>
      <c r="X128" s="61">
        <f t="shared" si="130"/>
        <v>0</v>
      </c>
      <c r="Y128" s="40">
        <f t="shared" si="140"/>
        <v>0</v>
      </c>
      <c r="Z128" s="40">
        <f t="shared" si="141"/>
        <v>0</v>
      </c>
      <c r="AA128" s="44">
        <f t="shared" si="142"/>
        <v>0</v>
      </c>
      <c r="AB128" s="35">
        <f t="shared" si="143"/>
        <v>0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0</v>
      </c>
      <c r="AD128" s="57">
        <v>0</v>
      </c>
      <c r="AE128" s="57">
        <v>0</v>
      </c>
      <c r="AF128" s="61">
        <f t="shared" si="131"/>
        <v>0</v>
      </c>
      <c r="AG128" s="40">
        <f t="shared" si="144"/>
        <v>0</v>
      </c>
      <c r="AH128" s="40">
        <f t="shared" si="145"/>
        <v>0</v>
      </c>
      <c r="AI128" s="44">
        <f t="shared" si="146"/>
        <v>0</v>
      </c>
      <c r="AJ128" s="35">
        <f t="shared" si="132"/>
        <v>0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0</v>
      </c>
      <c r="AL128" s="57">
        <v>0</v>
      </c>
      <c r="AM128" s="57">
        <v>0</v>
      </c>
      <c r="AN128" s="61">
        <f t="shared" si="133"/>
        <v>0</v>
      </c>
      <c r="AO128" s="40">
        <f t="shared" si="147"/>
        <v>0</v>
      </c>
      <c r="AP128" s="40">
        <f t="shared" si="148"/>
        <v>0</v>
      </c>
      <c r="AQ128" s="44">
        <f t="shared" si="149"/>
        <v>0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5</v>
      </c>
      <c r="G129" s="35">
        <f>SUMIFS(WORKING!$AC$3:$AC$6802,WORKING!$A$3:$A$6802,Results!$D$3,WORKING!$B$3:$B$6802,Results!A129,WORKING!$C$3:$C$6802,Results!C129)/1000</f>
        <v>2267.1828599999999</v>
      </c>
      <c r="H129" s="35">
        <f t="shared" si="134"/>
        <v>453.43657199999996</v>
      </c>
      <c r="I129" s="187">
        <v>5</v>
      </c>
      <c r="J129" s="212">
        <v>2690</v>
      </c>
      <c r="K129" s="217">
        <f t="shared" si="135"/>
        <v>538</v>
      </c>
      <c r="L129" s="34">
        <f t="shared" si="128"/>
        <v>5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586.11560018339196</v>
      </c>
      <c r="N129" s="57">
        <v>1</v>
      </c>
      <c r="O129" s="57">
        <v>0</v>
      </c>
      <c r="P129" s="61">
        <f t="shared" si="129"/>
        <v>6</v>
      </c>
      <c r="Q129" s="40">
        <f t="shared" si="136"/>
        <v>586.11560018339196</v>
      </c>
      <c r="R129" s="40">
        <f t="shared" si="137"/>
        <v>0</v>
      </c>
      <c r="S129" s="44">
        <f t="shared" si="138"/>
        <v>3516.6936011003518</v>
      </c>
      <c r="T129" s="35">
        <f t="shared" si="139"/>
        <v>6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636.09630140105025</v>
      </c>
      <c r="V129" s="57">
        <v>0</v>
      </c>
      <c r="W129" s="57">
        <v>0</v>
      </c>
      <c r="X129" s="61">
        <f t="shared" si="130"/>
        <v>6</v>
      </c>
      <c r="Y129" s="40">
        <f t="shared" si="140"/>
        <v>0</v>
      </c>
      <c r="Z129" s="40">
        <f t="shared" si="141"/>
        <v>0</v>
      </c>
      <c r="AA129" s="44">
        <f t="shared" si="142"/>
        <v>3816.5778084063013</v>
      </c>
      <c r="AB129" s="35">
        <f t="shared" si="143"/>
        <v>6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689.69414907904445</v>
      </c>
      <c r="AD129" s="57">
        <v>0</v>
      </c>
      <c r="AE129" s="57">
        <v>0</v>
      </c>
      <c r="AF129" s="61">
        <f t="shared" si="131"/>
        <v>6</v>
      </c>
      <c r="AG129" s="40">
        <f t="shared" si="144"/>
        <v>0</v>
      </c>
      <c r="AH129" s="40">
        <f t="shared" si="145"/>
        <v>0</v>
      </c>
      <c r="AI129" s="44">
        <f t="shared" si="146"/>
        <v>4138.1648944742665</v>
      </c>
      <c r="AJ129" s="35">
        <f t="shared" si="132"/>
        <v>6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746.40963482924292</v>
      </c>
      <c r="AL129" s="57">
        <v>0</v>
      </c>
      <c r="AM129" s="57">
        <v>0</v>
      </c>
      <c r="AN129" s="61">
        <f t="shared" si="133"/>
        <v>6</v>
      </c>
      <c r="AO129" s="40">
        <f t="shared" si="147"/>
        <v>0</v>
      </c>
      <c r="AP129" s="40">
        <f t="shared" si="148"/>
        <v>0</v>
      </c>
      <c r="AQ129" s="44">
        <f t="shared" si="149"/>
        <v>4478.4578089754577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1</v>
      </c>
      <c r="G130" s="35">
        <f>SUMIFS(WORKING!$AC$3:$AC$6802,WORKING!$A$3:$A$6802,Results!$D$3,WORKING!$B$3:$B$6802,Results!A130,WORKING!$C$3:$C$6802,Results!C130)/1000</f>
        <v>525.10675000000003</v>
      </c>
      <c r="H130" s="35">
        <f t="shared" si="134"/>
        <v>525.10675000000003</v>
      </c>
      <c r="I130" s="187">
        <v>1</v>
      </c>
      <c r="J130" s="212">
        <v>613</v>
      </c>
      <c r="K130" s="217">
        <f t="shared" si="135"/>
        <v>613</v>
      </c>
      <c r="L130" s="34">
        <f t="shared" si="128"/>
        <v>1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669.48061169201969</v>
      </c>
      <c r="N130" s="57">
        <v>0</v>
      </c>
      <c r="O130" s="57">
        <v>0</v>
      </c>
      <c r="P130" s="61">
        <f t="shared" si="129"/>
        <v>1</v>
      </c>
      <c r="Q130" s="40">
        <f t="shared" si="136"/>
        <v>0</v>
      </c>
      <c r="R130" s="40">
        <f t="shared" si="137"/>
        <v>0</v>
      </c>
      <c r="S130" s="44">
        <f t="shared" si="138"/>
        <v>669.48061169201969</v>
      </c>
      <c r="T130" s="35">
        <f t="shared" si="139"/>
        <v>1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727.08810604760447</v>
      </c>
      <c r="V130" s="57">
        <v>0</v>
      </c>
      <c r="W130" s="57">
        <v>0</v>
      </c>
      <c r="X130" s="61">
        <f t="shared" si="130"/>
        <v>1</v>
      </c>
      <c r="Y130" s="40">
        <f t="shared" si="140"/>
        <v>0</v>
      </c>
      <c r="Z130" s="40">
        <f t="shared" si="141"/>
        <v>0</v>
      </c>
      <c r="AA130" s="44">
        <f t="shared" si="142"/>
        <v>727.08810604760447</v>
      </c>
      <c r="AB130" s="35">
        <f t="shared" si="143"/>
        <v>1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788.91461927764522</v>
      </c>
      <c r="AD130" s="57">
        <v>0</v>
      </c>
      <c r="AE130" s="57">
        <v>0</v>
      </c>
      <c r="AF130" s="61">
        <f t="shared" si="131"/>
        <v>1</v>
      </c>
      <c r="AG130" s="40">
        <f t="shared" si="144"/>
        <v>0</v>
      </c>
      <c r="AH130" s="40">
        <f t="shared" si="145"/>
        <v>0</v>
      </c>
      <c r="AI130" s="44">
        <f t="shared" si="146"/>
        <v>788.91461927764522</v>
      </c>
      <c r="AJ130" s="35">
        <f t="shared" si="132"/>
        <v>1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854.3969351977122</v>
      </c>
      <c r="AL130" s="57">
        <v>0</v>
      </c>
      <c r="AM130" s="57">
        <v>0</v>
      </c>
      <c r="AN130" s="61">
        <f t="shared" si="133"/>
        <v>1</v>
      </c>
      <c r="AO130" s="40">
        <f t="shared" si="147"/>
        <v>0</v>
      </c>
      <c r="AP130" s="40">
        <f t="shared" si="148"/>
        <v>0</v>
      </c>
      <c r="AQ130" s="44">
        <f t="shared" si="149"/>
        <v>854.3969351977122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2</v>
      </c>
      <c r="G131" s="35">
        <f>SUMIFS(WORKING!$AC$3:$AC$6802,WORKING!$A$3:$A$6802,Results!$D$3,WORKING!$B$3:$B$6802,Results!A131,WORKING!$C$3:$C$6802,Results!C131)/1000</f>
        <v>1541.44138</v>
      </c>
      <c r="H131" s="35">
        <f t="shared" si="134"/>
        <v>770.72068999999999</v>
      </c>
      <c r="I131" s="187">
        <v>2</v>
      </c>
      <c r="J131" s="212">
        <v>1485</v>
      </c>
      <c r="K131" s="217">
        <f t="shared" si="135"/>
        <v>742.5</v>
      </c>
      <c r="L131" s="34">
        <f t="shared" si="128"/>
        <v>2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810.55634271845076</v>
      </c>
      <c r="N131" s="57">
        <v>2</v>
      </c>
      <c r="O131" s="57">
        <v>0</v>
      </c>
      <c r="P131" s="61">
        <f t="shared" si="129"/>
        <v>4</v>
      </c>
      <c r="Q131" s="40">
        <f t="shared" si="136"/>
        <v>1621.1126854369015</v>
      </c>
      <c r="R131" s="40">
        <f t="shared" si="137"/>
        <v>0</v>
      </c>
      <c r="S131" s="44">
        <f t="shared" si="138"/>
        <v>3242.2253708738031</v>
      </c>
      <c r="T131" s="35">
        <f t="shared" si="139"/>
        <v>4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879.91650789379344</v>
      </c>
      <c r="V131" s="57">
        <v>0</v>
      </c>
      <c r="W131" s="57">
        <v>0</v>
      </c>
      <c r="X131" s="61">
        <f t="shared" si="130"/>
        <v>4</v>
      </c>
      <c r="Y131" s="40">
        <f t="shared" si="140"/>
        <v>0</v>
      </c>
      <c r="Z131" s="40">
        <f t="shared" si="141"/>
        <v>0</v>
      </c>
      <c r="AA131" s="44">
        <f t="shared" si="142"/>
        <v>3519.6660315751737</v>
      </c>
      <c r="AB131" s="35">
        <f t="shared" si="143"/>
        <v>4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954.31917450460833</v>
      </c>
      <c r="AD131" s="57">
        <v>0</v>
      </c>
      <c r="AE131" s="57">
        <v>0</v>
      </c>
      <c r="AF131" s="61">
        <f t="shared" si="131"/>
        <v>4</v>
      </c>
      <c r="AG131" s="40">
        <f t="shared" si="144"/>
        <v>0</v>
      </c>
      <c r="AH131" s="40">
        <f t="shared" si="145"/>
        <v>0</v>
      </c>
      <c r="AI131" s="44">
        <f t="shared" si="146"/>
        <v>3817.2766980184333</v>
      </c>
      <c r="AJ131" s="35">
        <f t="shared" si="132"/>
        <v>4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1033.0766571339252</v>
      </c>
      <c r="AL131" s="57">
        <v>0</v>
      </c>
      <c r="AM131" s="57">
        <v>0</v>
      </c>
      <c r="AN131" s="61">
        <f t="shared" si="133"/>
        <v>4</v>
      </c>
      <c r="AO131" s="40">
        <f t="shared" si="147"/>
        <v>0</v>
      </c>
      <c r="AP131" s="40">
        <f t="shared" si="148"/>
        <v>0</v>
      </c>
      <c r="AQ131" s="44">
        <f t="shared" si="149"/>
        <v>4132.3066285357008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8</v>
      </c>
      <c r="G132" s="35">
        <f>SUMIFS(WORKING!$AC$3:$AC$6802,WORKING!$A$3:$A$6802,Results!$D$3,WORKING!$B$3:$B$6802,Results!A132,WORKING!$C$3:$C$6802,Results!C132)/1000</f>
        <v>6184.6322999999993</v>
      </c>
      <c r="H132" s="35">
        <f t="shared" si="134"/>
        <v>773.07903749999991</v>
      </c>
      <c r="I132" s="187">
        <v>4</v>
      </c>
      <c r="J132" s="212">
        <v>3634</v>
      </c>
      <c r="K132" s="217">
        <f t="shared" si="135"/>
        <v>908.5</v>
      </c>
      <c r="L132" s="34">
        <f t="shared" si="128"/>
        <v>4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952.46396941580156</v>
      </c>
      <c r="N132" s="57">
        <v>1</v>
      </c>
      <c r="O132" s="57">
        <v>0</v>
      </c>
      <c r="P132" s="61">
        <f t="shared" si="129"/>
        <v>5</v>
      </c>
      <c r="Q132" s="40">
        <f t="shared" si="136"/>
        <v>952.46396941580156</v>
      </c>
      <c r="R132" s="40">
        <f t="shared" si="137"/>
        <v>0</v>
      </c>
      <c r="S132" s="44">
        <f t="shared" si="138"/>
        <v>4762.3198470790076</v>
      </c>
      <c r="T132" s="35">
        <f t="shared" si="139"/>
        <v>5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1024.655141814266</v>
      </c>
      <c r="V132" s="57">
        <v>0</v>
      </c>
      <c r="W132" s="57">
        <v>0</v>
      </c>
      <c r="X132" s="61">
        <f t="shared" si="130"/>
        <v>5</v>
      </c>
      <c r="Y132" s="40">
        <f t="shared" si="140"/>
        <v>0</v>
      </c>
      <c r="Z132" s="40">
        <f t="shared" si="141"/>
        <v>0</v>
      </c>
      <c r="AA132" s="44">
        <f t="shared" si="142"/>
        <v>5123.2757090713303</v>
      </c>
      <c r="AB132" s="35">
        <f t="shared" si="143"/>
        <v>5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1101.2780582764967</v>
      </c>
      <c r="AD132" s="57">
        <v>0</v>
      </c>
      <c r="AE132" s="57">
        <v>0</v>
      </c>
      <c r="AF132" s="61">
        <f t="shared" si="131"/>
        <v>5</v>
      </c>
      <c r="AG132" s="40">
        <f t="shared" si="144"/>
        <v>0</v>
      </c>
      <c r="AH132" s="40">
        <f t="shared" si="145"/>
        <v>0</v>
      </c>
      <c r="AI132" s="44">
        <f t="shared" si="146"/>
        <v>5506.3902913824841</v>
      </c>
      <c r="AJ132" s="35">
        <f t="shared" si="132"/>
        <v>5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1181.3954025183289</v>
      </c>
      <c r="AL132" s="57">
        <v>0</v>
      </c>
      <c r="AM132" s="57">
        <v>0</v>
      </c>
      <c r="AN132" s="61">
        <f t="shared" si="133"/>
        <v>5</v>
      </c>
      <c r="AO132" s="40">
        <f t="shared" si="147"/>
        <v>0</v>
      </c>
      <c r="AP132" s="40">
        <f t="shared" si="148"/>
        <v>0</v>
      </c>
      <c r="AQ132" s="44">
        <f t="shared" si="149"/>
        <v>5906.9770125916439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3</v>
      </c>
      <c r="G133" s="35">
        <f>SUMIFS(WORKING!$AC$3:$AC$6802,WORKING!$A$3:$A$6802,Results!$D$3,WORKING!$B$3:$B$6802,Results!A133,WORKING!$C$3:$C$6802,Results!C133)/1000</f>
        <v>2013.4458200000001</v>
      </c>
      <c r="H133" s="35">
        <f t="shared" si="134"/>
        <v>671.14860666666675</v>
      </c>
      <c r="I133" s="187">
        <v>2</v>
      </c>
      <c r="J133" s="212">
        <v>2132</v>
      </c>
      <c r="K133" s="217">
        <f t="shared" si="135"/>
        <v>1066</v>
      </c>
      <c r="L133" s="34">
        <f t="shared" si="128"/>
        <v>2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1117.5292315588829</v>
      </c>
      <c r="N133" s="57">
        <v>0</v>
      </c>
      <c r="O133" s="57">
        <v>0</v>
      </c>
      <c r="P133" s="61">
        <f t="shared" si="129"/>
        <v>2</v>
      </c>
      <c r="Q133" s="40">
        <f t="shared" si="136"/>
        <v>0</v>
      </c>
      <c r="R133" s="40">
        <f t="shared" si="137"/>
        <v>0</v>
      </c>
      <c r="S133" s="44">
        <f t="shared" si="138"/>
        <v>2235.0584631177658</v>
      </c>
      <c r="T133" s="35">
        <f t="shared" si="139"/>
        <v>2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1202.1706557812659</v>
      </c>
      <c r="V133" s="57">
        <v>0</v>
      </c>
      <c r="W133" s="57">
        <v>0</v>
      </c>
      <c r="X133" s="61">
        <f t="shared" si="130"/>
        <v>2</v>
      </c>
      <c r="Y133" s="40">
        <f t="shared" si="140"/>
        <v>0</v>
      </c>
      <c r="Z133" s="40">
        <f t="shared" si="141"/>
        <v>0</v>
      </c>
      <c r="AA133" s="44">
        <f t="shared" si="142"/>
        <v>2404.3413115625317</v>
      </c>
      <c r="AB133" s="35">
        <f t="shared" si="143"/>
        <v>2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1292.0027818011179</v>
      </c>
      <c r="AD133" s="57">
        <v>0</v>
      </c>
      <c r="AE133" s="57">
        <v>0</v>
      </c>
      <c r="AF133" s="61">
        <f t="shared" si="131"/>
        <v>2</v>
      </c>
      <c r="AG133" s="40">
        <f t="shared" si="144"/>
        <v>0</v>
      </c>
      <c r="AH133" s="40">
        <f t="shared" si="145"/>
        <v>0</v>
      </c>
      <c r="AI133" s="44">
        <f t="shared" si="146"/>
        <v>2584.0055636022357</v>
      </c>
      <c r="AJ133" s="35">
        <f t="shared" si="132"/>
        <v>2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1385.9252326558255</v>
      </c>
      <c r="AL133" s="57">
        <v>0</v>
      </c>
      <c r="AM133" s="57">
        <v>0</v>
      </c>
      <c r="AN133" s="61">
        <f t="shared" si="133"/>
        <v>2</v>
      </c>
      <c r="AO133" s="40">
        <f t="shared" si="147"/>
        <v>0</v>
      </c>
      <c r="AP133" s="40">
        <f t="shared" si="148"/>
        <v>0</v>
      </c>
      <c r="AQ133" s="44">
        <f t="shared" si="149"/>
        <v>2771.8504653116511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 t="s">
        <v>754</v>
      </c>
      <c r="J134" s="212" t="s">
        <v>754</v>
      </c>
      <c r="K134" s="217" t="str">
        <f t="shared" si="135"/>
        <v/>
      </c>
      <c r="L134" s="34">
        <f t="shared" si="128"/>
        <v>0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0</v>
      </c>
      <c r="N134" s="57">
        <v>0</v>
      </c>
      <c r="O134" s="57">
        <v>0</v>
      </c>
      <c r="P134" s="61">
        <f t="shared" si="129"/>
        <v>0</v>
      </c>
      <c r="Q134" s="40">
        <f t="shared" si="136"/>
        <v>0</v>
      </c>
      <c r="R134" s="40">
        <f t="shared" si="137"/>
        <v>0</v>
      </c>
      <c r="S134" s="44">
        <f t="shared" si="138"/>
        <v>0</v>
      </c>
      <c r="T134" s="35">
        <f t="shared" si="139"/>
        <v>0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0</v>
      </c>
      <c r="V134" s="57">
        <v>0</v>
      </c>
      <c r="W134" s="57">
        <v>0</v>
      </c>
      <c r="X134" s="61">
        <f t="shared" si="130"/>
        <v>0</v>
      </c>
      <c r="Y134" s="40">
        <f t="shared" si="140"/>
        <v>0</v>
      </c>
      <c r="Z134" s="40">
        <f t="shared" si="141"/>
        <v>0</v>
      </c>
      <c r="AA134" s="44">
        <f t="shared" si="142"/>
        <v>0</v>
      </c>
      <c r="AB134" s="35">
        <f t="shared" si="143"/>
        <v>0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0</v>
      </c>
      <c r="AD134" s="57">
        <v>0</v>
      </c>
      <c r="AE134" s="57">
        <v>0</v>
      </c>
      <c r="AF134" s="61">
        <f t="shared" si="131"/>
        <v>0</v>
      </c>
      <c r="AG134" s="40">
        <f t="shared" si="144"/>
        <v>0</v>
      </c>
      <c r="AH134" s="40">
        <f t="shared" si="145"/>
        <v>0</v>
      </c>
      <c r="AI134" s="44">
        <f t="shared" si="146"/>
        <v>0</v>
      </c>
      <c r="AJ134" s="35">
        <f t="shared" si="132"/>
        <v>0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0</v>
      </c>
      <c r="AL134" s="57">
        <v>0</v>
      </c>
      <c r="AM134" s="57">
        <v>0</v>
      </c>
      <c r="AN134" s="61">
        <f t="shared" si="133"/>
        <v>0</v>
      </c>
      <c r="AO134" s="40">
        <f t="shared" si="147"/>
        <v>0</v>
      </c>
      <c r="AP134" s="40">
        <f t="shared" si="148"/>
        <v>0</v>
      </c>
      <c r="AQ134" s="44">
        <f t="shared" si="149"/>
        <v>0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25</v>
      </c>
      <c r="G140" s="41">
        <f>SUM(G120:G139)</f>
        <v>13792.862089999999</v>
      </c>
      <c r="H140" s="41">
        <f>IFERROR(G140/F140,0)</f>
        <v>551.71448359999999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20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12011</v>
      </c>
      <c r="K140" s="41">
        <f>IFERROR(J140/I140,"")</f>
        <v>600.54999999999995</v>
      </c>
      <c r="L140" s="41">
        <f>SUM(L120:L139)</f>
        <v>20</v>
      </c>
      <c r="M140" s="41">
        <f>IFERROR(S140/P140,0)</f>
        <v>653.09112537803503</v>
      </c>
      <c r="N140" s="41">
        <f t="shared" ref="N140:T140" si="151">SUM(N120:N139)</f>
        <v>5</v>
      </c>
      <c r="O140" s="41">
        <f t="shared" si="151"/>
        <v>0</v>
      </c>
      <c r="P140" s="41">
        <f t="shared" si="151"/>
        <v>25</v>
      </c>
      <c r="Q140" s="41">
        <f t="shared" si="151"/>
        <v>3474.8250248398426</v>
      </c>
      <c r="R140" s="41">
        <f t="shared" si="151"/>
        <v>0</v>
      </c>
      <c r="S140" s="45">
        <f t="shared" si="151"/>
        <v>16327.278134450877</v>
      </c>
      <c r="T140" s="41">
        <f t="shared" si="151"/>
        <v>25</v>
      </c>
      <c r="U140" s="41">
        <f>IFERROR(AA140/X140,0)</f>
        <v>706.16921499600085</v>
      </c>
      <c r="V140" s="41">
        <f t="shared" ref="V140:AB140" si="152">SUM(V120:V139)</f>
        <v>0</v>
      </c>
      <c r="W140" s="41">
        <f t="shared" si="152"/>
        <v>0</v>
      </c>
      <c r="X140" s="41">
        <f t="shared" si="152"/>
        <v>25</v>
      </c>
      <c r="Y140" s="41">
        <f t="shared" si="152"/>
        <v>0</v>
      </c>
      <c r="Z140" s="41">
        <f t="shared" si="152"/>
        <v>0</v>
      </c>
      <c r="AA140" s="45">
        <f t="shared" si="152"/>
        <v>17654.23037490002</v>
      </c>
      <c r="AB140" s="41">
        <f t="shared" si="152"/>
        <v>25</v>
      </c>
      <c r="AC140" s="41">
        <f>IFERROR(AI140/AF140,0)</f>
        <v>762.85951087449587</v>
      </c>
      <c r="AD140" s="41">
        <f t="shared" ref="AD140:AJ140" si="153">SUM(AD120:AD139)</f>
        <v>0</v>
      </c>
      <c r="AE140" s="41">
        <f t="shared" si="153"/>
        <v>0</v>
      </c>
      <c r="AF140" s="41">
        <f t="shared" si="153"/>
        <v>25</v>
      </c>
      <c r="AG140" s="41">
        <f t="shared" si="153"/>
        <v>0</v>
      </c>
      <c r="AH140" s="41">
        <f t="shared" si="153"/>
        <v>0</v>
      </c>
      <c r="AI140" s="45">
        <f t="shared" si="153"/>
        <v>19071.487771862397</v>
      </c>
      <c r="AJ140" s="41">
        <f t="shared" si="153"/>
        <v>25</v>
      </c>
      <c r="AK140" s="41">
        <f>IFERROR(AQ140/AN140,0)</f>
        <v>822.56903680471714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25</v>
      </c>
      <c r="AO140" s="41">
        <f t="shared" si="154"/>
        <v>0</v>
      </c>
      <c r="AP140" s="41">
        <f t="shared" si="154"/>
        <v>0</v>
      </c>
      <c r="AQ140" s="45">
        <f t="shared" si="154"/>
        <v>20564.225920117929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16355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18488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20285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21826.66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27.721865549123322</v>
      </c>
      <c r="T142" s="39"/>
      <c r="U142" s="39"/>
      <c r="V142" s="53"/>
      <c r="W142" s="53"/>
      <c r="X142" s="110"/>
      <c r="Y142" s="39"/>
      <c r="Z142" s="39"/>
      <c r="AA142" s="54">
        <f>AA141-AA140</f>
        <v>833.76962509997975</v>
      </c>
      <c r="AB142" s="39"/>
      <c r="AC142" s="53"/>
      <c r="AD142" s="53"/>
      <c r="AE142" s="110"/>
      <c r="AF142" s="39"/>
      <c r="AG142" s="39"/>
      <c r="AH142" s="39"/>
      <c r="AI142" s="54">
        <f>AI141-AI140</f>
        <v>1213.5122281376025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1262.4340798820704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Civilian Oversight, Monitoring and Evaluations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 t="s">
        <v>754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2</v>
      </c>
      <c r="G152" s="35">
        <f>SUMIFS(WORKING!$AC$3:$AC$6802,WORKING!$A$3:$A$6802,Results!$D$3,WORKING!$B$3:$B$6802,Results!A152,WORKING!$C$3:$C$6802,Results!C152)/1000</f>
        <v>918.26128000000006</v>
      </c>
      <c r="H152" s="35">
        <f t="shared" si="161"/>
        <v>459.13064000000003</v>
      </c>
      <c r="I152" s="187">
        <v>2</v>
      </c>
      <c r="J152" s="212">
        <v>415</v>
      </c>
      <c r="K152" s="217">
        <f t="shared" si="162"/>
        <v>207.5</v>
      </c>
      <c r="L152" s="34">
        <f t="shared" si="155"/>
        <v>2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225.8388906941876</v>
      </c>
      <c r="N152" s="57">
        <v>1</v>
      </c>
      <c r="O152" s="57">
        <v>0</v>
      </c>
      <c r="P152" s="61">
        <f t="shared" si="156"/>
        <v>3</v>
      </c>
      <c r="Q152" s="40">
        <f t="shared" si="163"/>
        <v>225.8388906941876</v>
      </c>
      <c r="R152" s="40">
        <f t="shared" si="164"/>
        <v>0</v>
      </c>
      <c r="S152" s="44">
        <f t="shared" si="165"/>
        <v>677.51667208256276</v>
      </c>
      <c r="T152" s="35">
        <f t="shared" si="166"/>
        <v>3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245.03249027081313</v>
      </c>
      <c r="V152" s="57">
        <v>0</v>
      </c>
      <c r="W152" s="57">
        <v>0</v>
      </c>
      <c r="X152" s="61">
        <f t="shared" si="157"/>
        <v>3</v>
      </c>
      <c r="Y152" s="40">
        <f t="shared" si="167"/>
        <v>0</v>
      </c>
      <c r="Z152" s="40">
        <f t="shared" si="168"/>
        <v>0</v>
      </c>
      <c r="AA152" s="44">
        <f t="shared" si="169"/>
        <v>735.09747081243938</v>
      </c>
      <c r="AB152" s="35">
        <f t="shared" si="170"/>
        <v>3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265.60877018202837</v>
      </c>
      <c r="AD152" s="57">
        <v>0</v>
      </c>
      <c r="AE152" s="57">
        <v>0</v>
      </c>
      <c r="AF152" s="61">
        <f t="shared" si="158"/>
        <v>3</v>
      </c>
      <c r="AG152" s="40">
        <f t="shared" si="171"/>
        <v>0</v>
      </c>
      <c r="AH152" s="40">
        <f t="shared" si="172"/>
        <v>0</v>
      </c>
      <c r="AI152" s="44">
        <f t="shared" si="173"/>
        <v>796.8263105460851</v>
      </c>
      <c r="AJ152" s="35">
        <f t="shared" si="159"/>
        <v>3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287.37408217138244</v>
      </c>
      <c r="AL152" s="57">
        <v>0</v>
      </c>
      <c r="AM152" s="57">
        <v>0</v>
      </c>
      <c r="AN152" s="61">
        <f t="shared" si="160"/>
        <v>3</v>
      </c>
      <c r="AO152" s="40">
        <f t="shared" si="174"/>
        <v>0</v>
      </c>
      <c r="AP152" s="40">
        <f t="shared" si="175"/>
        <v>0</v>
      </c>
      <c r="AQ152" s="44">
        <f t="shared" si="176"/>
        <v>862.12224651414726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2</v>
      </c>
      <c r="G153" s="35">
        <f>SUMIFS(WORKING!$AC$3:$AC$6802,WORKING!$A$3:$A$6802,Results!$D$3,WORKING!$B$3:$B$6802,Results!A153,WORKING!$C$3:$C$6802,Results!C153)/1000</f>
        <v>486.50557999999995</v>
      </c>
      <c r="H153" s="35">
        <f t="shared" si="161"/>
        <v>243.25278999999998</v>
      </c>
      <c r="I153" s="187">
        <v>2</v>
      </c>
      <c r="J153" s="212">
        <v>498</v>
      </c>
      <c r="K153" s="217">
        <f t="shared" si="162"/>
        <v>249</v>
      </c>
      <c r="L153" s="34">
        <f t="shared" si="155"/>
        <v>2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270.60383760086046</v>
      </c>
      <c r="N153" s="57">
        <v>0</v>
      </c>
      <c r="O153" s="57">
        <v>0</v>
      </c>
      <c r="P153" s="61">
        <f t="shared" si="156"/>
        <v>2</v>
      </c>
      <c r="Q153" s="40">
        <f t="shared" si="163"/>
        <v>0</v>
      </c>
      <c r="R153" s="40">
        <f t="shared" si="164"/>
        <v>0</v>
      </c>
      <c r="S153" s="44">
        <f t="shared" si="165"/>
        <v>541.20767520172092</v>
      </c>
      <c r="T153" s="35">
        <f t="shared" si="166"/>
        <v>2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293.47046021037471</v>
      </c>
      <c r="V153" s="57">
        <v>0</v>
      </c>
      <c r="W153" s="57">
        <v>0</v>
      </c>
      <c r="X153" s="61">
        <f t="shared" si="157"/>
        <v>2</v>
      </c>
      <c r="Y153" s="40">
        <f t="shared" si="167"/>
        <v>0</v>
      </c>
      <c r="Z153" s="40">
        <f t="shared" si="168"/>
        <v>0</v>
      </c>
      <c r="AA153" s="44">
        <f t="shared" si="169"/>
        <v>586.94092042074942</v>
      </c>
      <c r="AB153" s="35">
        <f t="shared" si="170"/>
        <v>2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317.97219848569262</v>
      </c>
      <c r="AD153" s="57">
        <v>0</v>
      </c>
      <c r="AE153" s="57">
        <v>0</v>
      </c>
      <c r="AF153" s="61">
        <f t="shared" si="158"/>
        <v>2</v>
      </c>
      <c r="AG153" s="40">
        <f t="shared" si="171"/>
        <v>0</v>
      </c>
      <c r="AH153" s="40">
        <f t="shared" si="172"/>
        <v>0</v>
      </c>
      <c r="AI153" s="44">
        <f t="shared" si="173"/>
        <v>635.94439697138523</v>
      </c>
      <c r="AJ153" s="35">
        <f t="shared" si="159"/>
        <v>2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343.87562835280352</v>
      </c>
      <c r="AL153" s="57">
        <v>0</v>
      </c>
      <c r="AM153" s="57">
        <v>0</v>
      </c>
      <c r="AN153" s="61">
        <f t="shared" si="160"/>
        <v>2</v>
      </c>
      <c r="AO153" s="40">
        <f t="shared" si="174"/>
        <v>0</v>
      </c>
      <c r="AP153" s="40">
        <f t="shared" si="175"/>
        <v>0</v>
      </c>
      <c r="AQ153" s="44">
        <f t="shared" si="176"/>
        <v>687.75125670560703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1</v>
      </c>
      <c r="G154" s="35">
        <f>SUMIFS(WORKING!$AC$3:$AC$6802,WORKING!$A$3:$A$6802,Results!$D$3,WORKING!$B$3:$B$6802,Results!A154,WORKING!$C$3:$C$6802,Results!C154)/1000</f>
        <v>373.88279000000006</v>
      </c>
      <c r="H154" s="35">
        <f t="shared" si="161"/>
        <v>373.88279000000006</v>
      </c>
      <c r="I154" s="187">
        <v>1</v>
      </c>
      <c r="J154" s="212">
        <v>307</v>
      </c>
      <c r="K154" s="217">
        <f t="shared" si="162"/>
        <v>307</v>
      </c>
      <c r="L154" s="34">
        <f t="shared" si="155"/>
        <v>1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333.93310543042929</v>
      </c>
      <c r="N154" s="57">
        <v>2</v>
      </c>
      <c r="O154" s="57">
        <v>0</v>
      </c>
      <c r="P154" s="61">
        <f t="shared" si="156"/>
        <v>3</v>
      </c>
      <c r="Q154" s="40">
        <f t="shared" si="163"/>
        <v>667.86621086085859</v>
      </c>
      <c r="R154" s="40">
        <f t="shared" si="164"/>
        <v>0</v>
      </c>
      <c r="S154" s="44">
        <f t="shared" si="165"/>
        <v>1001.7993162912878</v>
      </c>
      <c r="T154" s="35">
        <f t="shared" si="166"/>
        <v>3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362.24559222171405</v>
      </c>
      <c r="V154" s="57">
        <v>0</v>
      </c>
      <c r="W154" s="57">
        <v>0</v>
      </c>
      <c r="X154" s="61">
        <f t="shared" si="157"/>
        <v>3</v>
      </c>
      <c r="Y154" s="40">
        <f t="shared" si="167"/>
        <v>0</v>
      </c>
      <c r="Z154" s="40">
        <f t="shared" si="168"/>
        <v>0</v>
      </c>
      <c r="AA154" s="44">
        <f t="shared" si="169"/>
        <v>1086.7367766651421</v>
      </c>
      <c r="AB154" s="35">
        <f t="shared" si="170"/>
        <v>3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392.59152684747011</v>
      </c>
      <c r="AD154" s="57">
        <v>0</v>
      </c>
      <c r="AE154" s="57">
        <v>0</v>
      </c>
      <c r="AF154" s="61">
        <f t="shared" si="158"/>
        <v>3</v>
      </c>
      <c r="AG154" s="40">
        <f t="shared" si="171"/>
        <v>0</v>
      </c>
      <c r="AH154" s="40">
        <f t="shared" si="172"/>
        <v>0</v>
      </c>
      <c r="AI154" s="44">
        <f t="shared" si="173"/>
        <v>1177.7745805424104</v>
      </c>
      <c r="AJ154" s="35">
        <f t="shared" si="159"/>
        <v>3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424.68405269682268</v>
      </c>
      <c r="AL154" s="57">
        <v>0</v>
      </c>
      <c r="AM154" s="57">
        <v>0</v>
      </c>
      <c r="AN154" s="61">
        <f t="shared" si="160"/>
        <v>3</v>
      </c>
      <c r="AO154" s="40">
        <f t="shared" si="174"/>
        <v>0</v>
      </c>
      <c r="AP154" s="40">
        <f t="shared" si="175"/>
        <v>0</v>
      </c>
      <c r="AQ154" s="44">
        <f t="shared" si="176"/>
        <v>1274.0521580904681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0</v>
      </c>
      <c r="G155" s="35">
        <f>SUMIFS(WORKING!$AC$3:$AC$6802,WORKING!$A$3:$A$6802,Results!$D$3,WORKING!$B$3:$B$6802,Results!A155,WORKING!$C$3:$C$6802,Results!C155)/1000</f>
        <v>0</v>
      </c>
      <c r="H155" s="35">
        <f t="shared" si="161"/>
        <v>0</v>
      </c>
      <c r="I155" s="187" t="s">
        <v>754</v>
      </c>
      <c r="J155" s="212" t="s">
        <v>754</v>
      </c>
      <c r="K155" s="217" t="str">
        <f t="shared" si="162"/>
        <v/>
      </c>
      <c r="L155" s="34">
        <f t="shared" si="155"/>
        <v>0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0</v>
      </c>
      <c r="N155" s="57">
        <v>0</v>
      </c>
      <c r="O155" s="57">
        <v>0</v>
      </c>
      <c r="P155" s="61">
        <f t="shared" si="156"/>
        <v>0</v>
      </c>
      <c r="Q155" s="40">
        <f t="shared" si="163"/>
        <v>0</v>
      </c>
      <c r="R155" s="40">
        <f t="shared" si="164"/>
        <v>0</v>
      </c>
      <c r="S155" s="44">
        <f t="shared" si="165"/>
        <v>0</v>
      </c>
      <c r="T155" s="35">
        <f t="shared" si="166"/>
        <v>0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0</v>
      </c>
      <c r="V155" s="57">
        <v>0</v>
      </c>
      <c r="W155" s="57">
        <v>0</v>
      </c>
      <c r="X155" s="61">
        <f t="shared" si="157"/>
        <v>0</v>
      </c>
      <c r="Y155" s="40">
        <f t="shared" si="167"/>
        <v>0</v>
      </c>
      <c r="Z155" s="40">
        <f t="shared" si="168"/>
        <v>0</v>
      </c>
      <c r="AA155" s="44">
        <f t="shared" si="169"/>
        <v>0</v>
      </c>
      <c r="AB155" s="35">
        <f t="shared" si="170"/>
        <v>0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0</v>
      </c>
      <c r="AD155" s="57">
        <v>0</v>
      </c>
      <c r="AE155" s="57">
        <v>0</v>
      </c>
      <c r="AF155" s="61">
        <f t="shared" si="158"/>
        <v>0</v>
      </c>
      <c r="AG155" s="40">
        <f t="shared" si="171"/>
        <v>0</v>
      </c>
      <c r="AH155" s="40">
        <f t="shared" si="172"/>
        <v>0</v>
      </c>
      <c r="AI155" s="44">
        <f t="shared" si="173"/>
        <v>0</v>
      </c>
      <c r="AJ155" s="35">
        <f t="shared" si="159"/>
        <v>0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0</v>
      </c>
      <c r="AL155" s="57">
        <v>0</v>
      </c>
      <c r="AM155" s="57">
        <v>0</v>
      </c>
      <c r="AN155" s="61">
        <f t="shared" si="160"/>
        <v>0</v>
      </c>
      <c r="AO155" s="40">
        <f t="shared" si="174"/>
        <v>0</v>
      </c>
      <c r="AP155" s="40">
        <f t="shared" si="175"/>
        <v>0</v>
      </c>
      <c r="AQ155" s="44">
        <f t="shared" si="176"/>
        <v>0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0</v>
      </c>
      <c r="G156" s="35">
        <f>SUMIFS(WORKING!$AC$3:$AC$6802,WORKING!$A$3:$A$6802,Results!$D$3,WORKING!$B$3:$B$6802,Results!A156,WORKING!$C$3:$C$6802,Results!C156)/1000</f>
        <v>33.413170000000001</v>
      </c>
      <c r="H156" s="35">
        <f t="shared" si="161"/>
        <v>0</v>
      </c>
      <c r="I156" s="187" t="s">
        <v>754</v>
      </c>
      <c r="J156" s="212" t="s">
        <v>754</v>
      </c>
      <c r="K156" s="217" t="str">
        <f t="shared" si="162"/>
        <v/>
      </c>
      <c r="L156" s="34">
        <f t="shared" si="155"/>
        <v>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0</v>
      </c>
      <c r="N156" s="57">
        <v>0</v>
      </c>
      <c r="O156" s="57">
        <v>0</v>
      </c>
      <c r="P156" s="61">
        <f t="shared" si="156"/>
        <v>0</v>
      </c>
      <c r="Q156" s="40">
        <f t="shared" si="163"/>
        <v>0</v>
      </c>
      <c r="R156" s="40">
        <f t="shared" si="164"/>
        <v>0</v>
      </c>
      <c r="S156" s="44">
        <f t="shared" si="165"/>
        <v>0</v>
      </c>
      <c r="T156" s="35">
        <f t="shared" si="166"/>
        <v>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0</v>
      </c>
      <c r="V156" s="57">
        <v>0</v>
      </c>
      <c r="W156" s="57">
        <v>0</v>
      </c>
      <c r="X156" s="61">
        <f t="shared" si="157"/>
        <v>0</v>
      </c>
      <c r="Y156" s="40">
        <f t="shared" si="167"/>
        <v>0</v>
      </c>
      <c r="Z156" s="40">
        <f t="shared" si="168"/>
        <v>0</v>
      </c>
      <c r="AA156" s="44">
        <f t="shared" si="169"/>
        <v>0</v>
      </c>
      <c r="AB156" s="35">
        <f t="shared" si="170"/>
        <v>0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0</v>
      </c>
      <c r="AD156" s="57">
        <v>0</v>
      </c>
      <c r="AE156" s="57">
        <v>0</v>
      </c>
      <c r="AF156" s="61">
        <f t="shared" si="158"/>
        <v>0</v>
      </c>
      <c r="AG156" s="40">
        <f t="shared" si="171"/>
        <v>0</v>
      </c>
      <c r="AH156" s="40">
        <f t="shared" si="172"/>
        <v>0</v>
      </c>
      <c r="AI156" s="44">
        <f t="shared" si="173"/>
        <v>0</v>
      </c>
      <c r="AJ156" s="35">
        <f t="shared" si="159"/>
        <v>0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0</v>
      </c>
      <c r="AL156" s="57">
        <v>0</v>
      </c>
      <c r="AM156" s="57">
        <v>0</v>
      </c>
      <c r="AN156" s="61">
        <f t="shared" si="160"/>
        <v>0</v>
      </c>
      <c r="AO156" s="40">
        <f t="shared" si="174"/>
        <v>0</v>
      </c>
      <c r="AP156" s="40">
        <f t="shared" si="175"/>
        <v>0</v>
      </c>
      <c r="AQ156" s="44">
        <f t="shared" si="176"/>
        <v>0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7</v>
      </c>
      <c r="G157" s="35">
        <f>SUMIFS(WORKING!$AC$3:$AC$6802,WORKING!$A$3:$A$6802,Results!$D$3,WORKING!$B$3:$B$6802,Results!A157,WORKING!$C$3:$C$6802,Results!C157)/1000</f>
        <v>4054.1405999999997</v>
      </c>
      <c r="H157" s="35">
        <f t="shared" si="161"/>
        <v>579.16294285714287</v>
      </c>
      <c r="I157" s="187">
        <v>7</v>
      </c>
      <c r="J157" s="212">
        <v>3732</v>
      </c>
      <c r="K157" s="217">
        <f t="shared" si="162"/>
        <v>533.14285714285711</v>
      </c>
      <c r="L157" s="34">
        <f t="shared" si="155"/>
        <v>7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581.23227220968579</v>
      </c>
      <c r="N157" s="57">
        <v>2</v>
      </c>
      <c r="O157" s="57">
        <v>0</v>
      </c>
      <c r="P157" s="61">
        <f t="shared" si="156"/>
        <v>9</v>
      </c>
      <c r="Q157" s="40">
        <f t="shared" si="163"/>
        <v>1162.4645444193716</v>
      </c>
      <c r="R157" s="40">
        <f t="shared" si="164"/>
        <v>0</v>
      </c>
      <c r="S157" s="44">
        <f t="shared" si="165"/>
        <v>5231.0904498871723</v>
      </c>
      <c r="T157" s="35">
        <f t="shared" si="166"/>
        <v>9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630.92476382194411</v>
      </c>
      <c r="V157" s="57">
        <v>0</v>
      </c>
      <c r="W157" s="57">
        <v>0</v>
      </c>
      <c r="X157" s="61">
        <f t="shared" si="157"/>
        <v>9</v>
      </c>
      <c r="Y157" s="40">
        <f t="shared" si="167"/>
        <v>0</v>
      </c>
      <c r="Z157" s="40">
        <f t="shared" si="168"/>
        <v>0</v>
      </c>
      <c r="AA157" s="44">
        <f t="shared" si="169"/>
        <v>5678.3228743974969</v>
      </c>
      <c r="AB157" s="35">
        <f t="shared" si="170"/>
        <v>9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684.22578817115107</v>
      </c>
      <c r="AD157" s="57">
        <v>0</v>
      </c>
      <c r="AE157" s="57">
        <v>0</v>
      </c>
      <c r="AF157" s="61">
        <f t="shared" si="158"/>
        <v>9</v>
      </c>
      <c r="AG157" s="40">
        <f t="shared" si="171"/>
        <v>0</v>
      </c>
      <c r="AH157" s="40">
        <f t="shared" si="172"/>
        <v>0</v>
      </c>
      <c r="AI157" s="44">
        <f t="shared" si="173"/>
        <v>6158.0320935403597</v>
      </c>
      <c r="AJ157" s="35">
        <f t="shared" si="159"/>
        <v>9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740.64174146449807</v>
      </c>
      <c r="AL157" s="57">
        <v>0</v>
      </c>
      <c r="AM157" s="57">
        <v>0</v>
      </c>
      <c r="AN157" s="61">
        <f t="shared" si="160"/>
        <v>9</v>
      </c>
      <c r="AO157" s="40">
        <f t="shared" si="174"/>
        <v>0</v>
      </c>
      <c r="AP157" s="40">
        <f t="shared" si="175"/>
        <v>0</v>
      </c>
      <c r="AQ157" s="44">
        <f t="shared" si="176"/>
        <v>6665.775673180483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0</v>
      </c>
      <c r="G158" s="35">
        <f>SUMIFS(WORKING!$AC$3:$AC$6802,WORKING!$A$3:$A$6802,Results!$D$3,WORKING!$B$3:$B$6802,Results!A158,WORKING!$C$3:$C$6802,Results!C158)/1000</f>
        <v>0</v>
      </c>
      <c r="H158" s="35">
        <f t="shared" si="161"/>
        <v>0</v>
      </c>
      <c r="I158" s="187" t="s">
        <v>754</v>
      </c>
      <c r="J158" s="212" t="s">
        <v>754</v>
      </c>
      <c r="K158" s="217" t="str">
        <f t="shared" si="162"/>
        <v/>
      </c>
      <c r="L158" s="34">
        <f t="shared" si="155"/>
        <v>0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0</v>
      </c>
      <c r="N158" s="57">
        <v>0</v>
      </c>
      <c r="O158" s="57">
        <v>0</v>
      </c>
      <c r="P158" s="61">
        <f t="shared" si="156"/>
        <v>0</v>
      </c>
      <c r="Q158" s="40">
        <f t="shared" si="163"/>
        <v>0</v>
      </c>
      <c r="R158" s="40">
        <f t="shared" si="164"/>
        <v>0</v>
      </c>
      <c r="S158" s="44">
        <f t="shared" si="165"/>
        <v>0</v>
      </c>
      <c r="T158" s="35">
        <f t="shared" si="166"/>
        <v>0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0</v>
      </c>
      <c r="V158" s="57">
        <v>0</v>
      </c>
      <c r="W158" s="57">
        <v>0</v>
      </c>
      <c r="X158" s="61">
        <f t="shared" si="157"/>
        <v>0</v>
      </c>
      <c r="Y158" s="40">
        <f t="shared" si="167"/>
        <v>0</v>
      </c>
      <c r="Z158" s="40">
        <f t="shared" si="168"/>
        <v>0</v>
      </c>
      <c r="AA158" s="44">
        <f t="shared" si="169"/>
        <v>0</v>
      </c>
      <c r="AB158" s="35">
        <f t="shared" si="170"/>
        <v>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0</v>
      </c>
      <c r="AD158" s="57">
        <v>0</v>
      </c>
      <c r="AE158" s="57">
        <v>0</v>
      </c>
      <c r="AF158" s="61">
        <f t="shared" si="158"/>
        <v>0</v>
      </c>
      <c r="AG158" s="40">
        <f t="shared" si="171"/>
        <v>0</v>
      </c>
      <c r="AH158" s="40">
        <f t="shared" si="172"/>
        <v>0</v>
      </c>
      <c r="AI158" s="44">
        <f t="shared" si="173"/>
        <v>0</v>
      </c>
      <c r="AJ158" s="35">
        <f t="shared" si="159"/>
        <v>0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0</v>
      </c>
      <c r="AL158" s="57">
        <v>0</v>
      </c>
      <c r="AM158" s="57">
        <v>0</v>
      </c>
      <c r="AN158" s="61">
        <f t="shared" si="160"/>
        <v>0</v>
      </c>
      <c r="AO158" s="40">
        <f t="shared" si="174"/>
        <v>0</v>
      </c>
      <c r="AP158" s="40">
        <f t="shared" si="175"/>
        <v>0</v>
      </c>
      <c r="AQ158" s="44">
        <f t="shared" si="176"/>
        <v>0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4</v>
      </c>
      <c r="G159" s="35">
        <f>SUMIFS(WORKING!$AC$3:$AC$6802,WORKING!$A$3:$A$6802,Results!$D$3,WORKING!$B$3:$B$6802,Results!A159,WORKING!$C$3:$C$6802,Results!C159)/1000</f>
        <v>2646.5190199999993</v>
      </c>
      <c r="H159" s="35">
        <f t="shared" si="161"/>
        <v>661.62975499999982</v>
      </c>
      <c r="I159" s="187">
        <v>4</v>
      </c>
      <c r="J159" s="212">
        <v>2927</v>
      </c>
      <c r="K159" s="217">
        <f t="shared" si="162"/>
        <v>731.75</v>
      </c>
      <c r="L159" s="34">
        <f t="shared" si="155"/>
        <v>4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798.87516327666344</v>
      </c>
      <c r="N159" s="57">
        <v>0</v>
      </c>
      <c r="O159" s="57">
        <v>0</v>
      </c>
      <c r="P159" s="61">
        <f t="shared" si="156"/>
        <v>4</v>
      </c>
      <c r="Q159" s="40">
        <f t="shared" si="163"/>
        <v>0</v>
      </c>
      <c r="R159" s="40">
        <f t="shared" si="164"/>
        <v>0</v>
      </c>
      <c r="S159" s="44">
        <f t="shared" si="165"/>
        <v>3195.5006531066538</v>
      </c>
      <c r="T159" s="35">
        <f t="shared" si="166"/>
        <v>4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867.2945431209464</v>
      </c>
      <c r="V159" s="57">
        <v>0</v>
      </c>
      <c r="W159" s="57">
        <v>0</v>
      </c>
      <c r="X159" s="61">
        <f t="shared" si="157"/>
        <v>4</v>
      </c>
      <c r="Y159" s="40">
        <f t="shared" si="167"/>
        <v>0</v>
      </c>
      <c r="Z159" s="40">
        <f t="shared" si="168"/>
        <v>0</v>
      </c>
      <c r="AA159" s="44">
        <f t="shared" si="169"/>
        <v>3469.1781724837856</v>
      </c>
      <c r="AB159" s="35">
        <f t="shared" si="170"/>
        <v>4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940.69370107191969</v>
      </c>
      <c r="AD159" s="57">
        <v>0</v>
      </c>
      <c r="AE159" s="57">
        <v>0</v>
      </c>
      <c r="AF159" s="61">
        <f t="shared" si="158"/>
        <v>4</v>
      </c>
      <c r="AG159" s="40">
        <f t="shared" si="171"/>
        <v>0</v>
      </c>
      <c r="AH159" s="40">
        <f t="shared" si="172"/>
        <v>0</v>
      </c>
      <c r="AI159" s="44">
        <f t="shared" si="173"/>
        <v>3762.7748042876788</v>
      </c>
      <c r="AJ159" s="35">
        <f t="shared" si="159"/>
        <v>4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1018.395736042522</v>
      </c>
      <c r="AL159" s="57">
        <v>0</v>
      </c>
      <c r="AM159" s="57">
        <v>0</v>
      </c>
      <c r="AN159" s="61">
        <f t="shared" si="160"/>
        <v>4</v>
      </c>
      <c r="AO159" s="40">
        <f t="shared" si="174"/>
        <v>0</v>
      </c>
      <c r="AP159" s="40">
        <f t="shared" si="175"/>
        <v>0</v>
      </c>
      <c r="AQ159" s="44">
        <f t="shared" si="176"/>
        <v>4073.582944170088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3</v>
      </c>
      <c r="G160" s="35">
        <f>SUMIFS(WORKING!$AC$3:$AC$6802,WORKING!$A$3:$A$6802,Results!$D$3,WORKING!$B$3:$B$6802,Results!A160,WORKING!$C$3:$C$6802,Results!C160)/1000</f>
        <v>2721.8867300000002</v>
      </c>
      <c r="H160" s="35">
        <f t="shared" si="161"/>
        <v>907.29557666666676</v>
      </c>
      <c r="I160" s="187">
        <v>3</v>
      </c>
      <c r="J160" s="212">
        <v>2631</v>
      </c>
      <c r="K160" s="217">
        <f t="shared" si="162"/>
        <v>877</v>
      </c>
      <c r="L160" s="34">
        <f t="shared" si="155"/>
        <v>3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919.36934598426046</v>
      </c>
      <c r="N160" s="57">
        <v>0</v>
      </c>
      <c r="O160" s="57">
        <v>0</v>
      </c>
      <c r="P160" s="61">
        <f t="shared" si="156"/>
        <v>3</v>
      </c>
      <c r="Q160" s="40">
        <f t="shared" si="163"/>
        <v>0</v>
      </c>
      <c r="R160" s="40">
        <f t="shared" si="164"/>
        <v>0</v>
      </c>
      <c r="S160" s="44">
        <f t="shared" si="165"/>
        <v>2758.1080379527812</v>
      </c>
      <c r="T160" s="35">
        <f t="shared" si="166"/>
        <v>3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988.97653820244216</v>
      </c>
      <c r="V160" s="57">
        <v>0</v>
      </c>
      <c r="W160" s="57">
        <v>0</v>
      </c>
      <c r="X160" s="61">
        <f t="shared" si="157"/>
        <v>3</v>
      </c>
      <c r="Y160" s="40">
        <f t="shared" si="167"/>
        <v>0</v>
      </c>
      <c r="Z160" s="40">
        <f t="shared" si="168"/>
        <v>0</v>
      </c>
      <c r="AA160" s="44">
        <f t="shared" si="169"/>
        <v>2966.9296146073266</v>
      </c>
      <c r="AB160" s="35">
        <f t="shared" si="170"/>
        <v>3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1062.8501869272875</v>
      </c>
      <c r="AD160" s="57">
        <v>0</v>
      </c>
      <c r="AE160" s="57">
        <v>0</v>
      </c>
      <c r="AF160" s="61">
        <f t="shared" si="158"/>
        <v>3</v>
      </c>
      <c r="AG160" s="40">
        <f t="shared" si="171"/>
        <v>0</v>
      </c>
      <c r="AH160" s="40">
        <f t="shared" si="172"/>
        <v>0</v>
      </c>
      <c r="AI160" s="44">
        <f t="shared" si="173"/>
        <v>3188.5505607818623</v>
      </c>
      <c r="AJ160" s="35">
        <f t="shared" si="159"/>
        <v>3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1140.0847720380918</v>
      </c>
      <c r="AL160" s="57">
        <v>0</v>
      </c>
      <c r="AM160" s="57">
        <v>0</v>
      </c>
      <c r="AN160" s="61">
        <f t="shared" si="160"/>
        <v>3</v>
      </c>
      <c r="AO160" s="40">
        <f t="shared" si="174"/>
        <v>0</v>
      </c>
      <c r="AP160" s="40">
        <f t="shared" si="175"/>
        <v>0</v>
      </c>
      <c r="AQ160" s="44">
        <f t="shared" si="176"/>
        <v>3420.2543161142758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0</v>
      </c>
      <c r="G161" s="35">
        <f>SUMIFS(WORKING!$AC$3:$AC$6802,WORKING!$A$3:$A$6802,Results!$D$3,WORKING!$B$3:$B$6802,Results!A161,WORKING!$C$3:$C$6802,Results!C161)/1000</f>
        <v>0</v>
      </c>
      <c r="H161" s="35">
        <f t="shared" si="161"/>
        <v>0</v>
      </c>
      <c r="I161" s="187" t="s">
        <v>754</v>
      </c>
      <c r="J161" s="212" t="s">
        <v>754</v>
      </c>
      <c r="K161" s="217" t="str">
        <f t="shared" si="162"/>
        <v/>
      </c>
      <c r="L161" s="34">
        <f t="shared" si="155"/>
        <v>0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0</v>
      </c>
      <c r="N161" s="57">
        <v>1</v>
      </c>
      <c r="O161" s="57">
        <v>0</v>
      </c>
      <c r="P161" s="61">
        <f t="shared" si="156"/>
        <v>1</v>
      </c>
      <c r="Q161" s="40">
        <f t="shared" si="163"/>
        <v>0</v>
      </c>
      <c r="R161" s="40">
        <f t="shared" si="164"/>
        <v>0</v>
      </c>
      <c r="S161" s="44">
        <f t="shared" si="165"/>
        <v>0</v>
      </c>
      <c r="T161" s="35">
        <f t="shared" si="166"/>
        <v>1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0</v>
      </c>
      <c r="V161" s="57">
        <v>0</v>
      </c>
      <c r="W161" s="57">
        <v>0</v>
      </c>
      <c r="X161" s="61">
        <f t="shared" si="157"/>
        <v>1</v>
      </c>
      <c r="Y161" s="40">
        <f t="shared" si="167"/>
        <v>0</v>
      </c>
      <c r="Z161" s="40">
        <f t="shared" si="168"/>
        <v>0</v>
      </c>
      <c r="AA161" s="44">
        <f t="shared" si="169"/>
        <v>0</v>
      </c>
      <c r="AB161" s="35">
        <f t="shared" si="170"/>
        <v>1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0</v>
      </c>
      <c r="AD161" s="57">
        <v>0</v>
      </c>
      <c r="AE161" s="57">
        <v>0</v>
      </c>
      <c r="AF161" s="61">
        <f t="shared" si="158"/>
        <v>1</v>
      </c>
      <c r="AG161" s="40">
        <f t="shared" si="171"/>
        <v>0</v>
      </c>
      <c r="AH161" s="40">
        <f t="shared" si="172"/>
        <v>0</v>
      </c>
      <c r="AI161" s="44">
        <f t="shared" si="173"/>
        <v>0</v>
      </c>
      <c r="AJ161" s="35">
        <f t="shared" si="159"/>
        <v>1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0</v>
      </c>
      <c r="AL161" s="57">
        <v>0</v>
      </c>
      <c r="AM161" s="57">
        <v>0</v>
      </c>
      <c r="AN161" s="61">
        <f t="shared" si="160"/>
        <v>1</v>
      </c>
      <c r="AO161" s="40">
        <f t="shared" si="174"/>
        <v>0</v>
      </c>
      <c r="AP161" s="40">
        <f t="shared" si="175"/>
        <v>0</v>
      </c>
      <c r="AQ161" s="44">
        <f t="shared" si="176"/>
        <v>0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 t="s">
        <v>754</v>
      </c>
      <c r="J162" s="212" t="s">
        <v>754</v>
      </c>
      <c r="K162" s="217" t="str">
        <f t="shared" si="162"/>
        <v/>
      </c>
      <c r="L162" s="34">
        <f t="shared" si="155"/>
        <v>0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0</v>
      </c>
      <c r="N162" s="57">
        <v>0</v>
      </c>
      <c r="O162" s="57">
        <v>0</v>
      </c>
      <c r="P162" s="61">
        <f t="shared" si="156"/>
        <v>0</v>
      </c>
      <c r="Q162" s="40">
        <f t="shared" si="163"/>
        <v>0</v>
      </c>
      <c r="R162" s="40">
        <f t="shared" si="164"/>
        <v>0</v>
      </c>
      <c r="S162" s="44">
        <f t="shared" si="165"/>
        <v>0</v>
      </c>
      <c r="T162" s="35">
        <f t="shared" si="166"/>
        <v>0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0</v>
      </c>
      <c r="V162" s="57">
        <v>0</v>
      </c>
      <c r="W162" s="57">
        <v>0</v>
      </c>
      <c r="X162" s="61">
        <f t="shared" si="157"/>
        <v>0</v>
      </c>
      <c r="Y162" s="40">
        <f t="shared" si="167"/>
        <v>0</v>
      </c>
      <c r="Z162" s="40">
        <f t="shared" si="168"/>
        <v>0</v>
      </c>
      <c r="AA162" s="44">
        <f t="shared" si="169"/>
        <v>0</v>
      </c>
      <c r="AB162" s="35">
        <f t="shared" si="170"/>
        <v>0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0</v>
      </c>
      <c r="AD162" s="57">
        <v>0</v>
      </c>
      <c r="AE162" s="57">
        <v>0</v>
      </c>
      <c r="AF162" s="61">
        <f t="shared" si="158"/>
        <v>0</v>
      </c>
      <c r="AG162" s="40">
        <f t="shared" si="171"/>
        <v>0</v>
      </c>
      <c r="AH162" s="40">
        <f t="shared" si="172"/>
        <v>0</v>
      </c>
      <c r="AI162" s="44">
        <f t="shared" si="173"/>
        <v>0</v>
      </c>
      <c r="AJ162" s="35">
        <f t="shared" si="159"/>
        <v>0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0</v>
      </c>
      <c r="AL162" s="57">
        <v>0</v>
      </c>
      <c r="AM162" s="57">
        <v>0</v>
      </c>
      <c r="AN162" s="61">
        <f t="shared" si="160"/>
        <v>0</v>
      </c>
      <c r="AO162" s="40">
        <f t="shared" si="174"/>
        <v>0</v>
      </c>
      <c r="AP162" s="40">
        <f t="shared" si="175"/>
        <v>0</v>
      </c>
      <c r="AQ162" s="44">
        <f t="shared" si="176"/>
        <v>0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19</v>
      </c>
      <c r="G168" s="41">
        <f>SUM(G148:G167)</f>
        <v>11234.60917</v>
      </c>
      <c r="H168" s="41">
        <f>IFERROR(G168/F168,0)</f>
        <v>591.29521947368414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19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10543.41317</v>
      </c>
      <c r="K168" s="41">
        <f>IFERROR(J168/I168,"")</f>
        <v>554.9164826315789</v>
      </c>
      <c r="L168" s="41">
        <f>SUM(L148:L167)</f>
        <v>19</v>
      </c>
      <c r="M168" s="41">
        <f>IFERROR(S168/P168,0)</f>
        <v>536.20891218088718</v>
      </c>
      <c r="N168" s="41">
        <f t="shared" ref="N168:T168" si="177">SUM(N148:N167)</f>
        <v>6</v>
      </c>
      <c r="O168" s="41">
        <f t="shared" si="177"/>
        <v>0</v>
      </c>
      <c r="P168" s="41">
        <f t="shared" si="177"/>
        <v>25</v>
      </c>
      <c r="Q168" s="41">
        <f t="shared" si="177"/>
        <v>2056.169645974418</v>
      </c>
      <c r="R168" s="41">
        <f t="shared" si="177"/>
        <v>0</v>
      </c>
      <c r="S168" s="45">
        <f t="shared" si="177"/>
        <v>13405.222804522178</v>
      </c>
      <c r="T168" s="41">
        <f t="shared" si="177"/>
        <v>25</v>
      </c>
      <c r="U168" s="41">
        <f>IFERROR(AA168/X168,0)</f>
        <v>580.92823317547754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25</v>
      </c>
      <c r="Y168" s="41">
        <f t="shared" si="178"/>
        <v>0</v>
      </c>
      <c r="Z168" s="41">
        <f t="shared" si="178"/>
        <v>0</v>
      </c>
      <c r="AA168" s="45">
        <f t="shared" si="178"/>
        <v>14523.20582938694</v>
      </c>
      <c r="AB168" s="41">
        <f t="shared" si="178"/>
        <v>25</v>
      </c>
      <c r="AC168" s="41">
        <f>IFERROR(AI168/AF168,0)</f>
        <v>628.7961098667912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25</v>
      </c>
      <c r="AG168" s="41">
        <f t="shared" si="179"/>
        <v>0</v>
      </c>
      <c r="AH168" s="41">
        <f t="shared" si="179"/>
        <v>0</v>
      </c>
      <c r="AI168" s="45">
        <f t="shared" si="179"/>
        <v>15719.902746669781</v>
      </c>
      <c r="AJ168" s="41">
        <f t="shared" si="179"/>
        <v>25</v>
      </c>
      <c r="AK168" s="41">
        <f>IFERROR(AQ168/AN168,0)</f>
        <v>679.34154379100278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25</v>
      </c>
      <c r="AO168" s="41">
        <f t="shared" si="180"/>
        <v>0</v>
      </c>
      <c r="AP168" s="41">
        <f t="shared" si="180"/>
        <v>0</v>
      </c>
      <c r="AQ168" s="45">
        <f t="shared" si="180"/>
        <v>16983.538594775069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14355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16227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17804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19157.104000000003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949.77719547782181</v>
      </c>
      <c r="T170" s="39"/>
      <c r="U170" s="39"/>
      <c r="V170" s="53"/>
      <c r="W170" s="53"/>
      <c r="X170" s="110"/>
      <c r="Y170" s="39"/>
      <c r="Z170" s="39"/>
      <c r="AA170" s="54">
        <f>AA169-AA168</f>
        <v>1703.7941706130605</v>
      </c>
      <c r="AB170" s="39"/>
      <c r="AC170" s="53"/>
      <c r="AD170" s="53"/>
      <c r="AE170" s="110"/>
      <c r="AF170" s="39"/>
      <c r="AG170" s="39"/>
      <c r="AH170" s="39"/>
      <c r="AI170" s="54">
        <f>AI169-AI168</f>
        <v>2084.0972533302192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2173.5654052249338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Programme 5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0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0</v>
      </c>
      <c r="T198" s="39"/>
      <c r="U198" s="39"/>
      <c r="V198" s="53"/>
      <c r="W198" s="53"/>
      <c r="X198" s="110"/>
      <c r="Y198" s="39"/>
      <c r="Z198" s="39"/>
      <c r="AA198" s="54">
        <f>AA197-AA196</f>
        <v>0</v>
      </c>
      <c r="AB198" s="39"/>
      <c r="AC198" s="53"/>
      <c r="AD198" s="53"/>
      <c r="AE198" s="110"/>
      <c r="AF198" s="39"/>
      <c r="AG198" s="39"/>
      <c r="AH198" s="39"/>
      <c r="AI198" s="54">
        <f>AI197-AI196</f>
        <v>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0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nXD7zJxD3sag/ahTdfbzketryPupDkPCssIOADiX31ch2SLbvaI7JTUcO+e1I9XQHt6L7Ec7pEhP7/Z8D7n2iQ==" saltValue="BL+gUjR+ShCZK5CSuxWG/g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Civilian Secretariat for Police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41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42671.518604629629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NAT_HRBP__42671.5186046296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HRBP-Vote41.xlsx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purl.org/dc/terms/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www.w3.org/XML/1998/namespace"/>
    <ds:schemaRef ds:uri="df7ca258-5e24-45de-bd31-dbc76bc6765a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2016-10-28T10:29:46Z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